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6" windowWidth="8472" windowHeight="5892" firstSheet="1" activeTab="6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4519"/>
</workbook>
</file>

<file path=xl/calcChain.xml><?xml version="1.0" encoding="utf-8"?>
<calcChain xmlns="http://schemas.openxmlformats.org/spreadsheetml/2006/main">
  <c r="D67" i="53"/>
  <c r="D59"/>
  <c r="C59"/>
  <c r="B59"/>
  <c r="B63" l="1"/>
  <c r="G63"/>
  <c r="C61"/>
  <c r="C63"/>
  <c r="B61"/>
  <c r="I36" i="52"/>
  <c r="I31"/>
  <c r="G15"/>
  <c r="G14"/>
  <c r="G12"/>
  <c r="E21" i="36"/>
  <c r="E20"/>
  <c r="E23"/>
  <c r="E22"/>
  <c r="D59" i="54"/>
  <c r="D65"/>
  <c r="D64"/>
  <c r="D63"/>
  <c r="D62"/>
  <c r="D61"/>
  <c r="D51"/>
  <c r="D54"/>
  <c r="D48"/>
  <c r="D47"/>
  <c r="D46"/>
  <c r="D44"/>
  <c r="D45"/>
  <c r="D31"/>
  <c r="D27"/>
  <c r="D30"/>
  <c r="D14"/>
  <c r="D16"/>
  <c r="D10"/>
  <c r="D9"/>
  <c r="E24" i="36"/>
  <c r="E19"/>
  <c r="E18"/>
  <c r="D24"/>
  <c r="D23"/>
  <c r="D22"/>
  <c r="D21"/>
  <c r="D20"/>
  <c r="C62" i="35"/>
  <c r="C55"/>
  <c r="C54"/>
  <c r="H55"/>
  <c r="H54"/>
  <c r="H62"/>
  <c r="C30"/>
  <c r="C28"/>
  <c r="C70"/>
  <c r="C68"/>
  <c r="C67"/>
  <c r="C63"/>
  <c r="C56"/>
  <c r="C53"/>
  <c r="C52"/>
  <c r="C51"/>
  <c r="C50"/>
  <c r="C49"/>
  <c r="C32"/>
  <c r="C24"/>
  <c r="C23"/>
  <c r="C21"/>
  <c r="C17"/>
  <c r="C16"/>
  <c r="C15"/>
  <c r="C13"/>
  <c r="C12"/>
  <c r="H21"/>
  <c r="H17"/>
  <c r="H16"/>
  <c r="H13"/>
  <c r="H12"/>
  <c r="Z6" i="53"/>
  <c r="I31" i="40"/>
  <c r="D43" i="54" l="1"/>
  <c r="D24"/>
  <c r="C58" i="35"/>
  <c r="C57"/>
  <c r="D18" i="36"/>
  <c r="C14" i="35"/>
  <c r="I14" i="40"/>
  <c r="I36" s="1"/>
  <c r="I42" i="52"/>
  <c r="G13"/>
  <c r="D60" i="54"/>
  <c r="F54"/>
  <c r="D50"/>
  <c r="D53"/>
  <c r="F21" i="36"/>
  <c r="F20"/>
  <c r="F24"/>
  <c r="F23"/>
  <c r="F22"/>
  <c r="C60" i="35"/>
  <c r="C27"/>
  <c r="D19" i="36"/>
  <c r="D56" i="54" l="1"/>
  <c r="C31" i="35"/>
  <c r="C18"/>
  <c r="D30" i="55"/>
  <c r="E30"/>
  <c r="C30"/>
  <c r="E8"/>
  <c r="C65" i="35"/>
  <c r="I32" i="52"/>
  <c r="G16"/>
  <c r="C66" i="35"/>
  <c r="C25"/>
  <c r="G42" i="52" l="1"/>
  <c r="L11"/>
  <c r="A87" i="53"/>
  <c r="F71" i="54" l="1"/>
  <c r="Z59" i="53" l="1"/>
  <c r="F53" i="54"/>
  <c r="F70"/>
  <c r="E31" i="36" l="1"/>
  <c r="F67" i="54" l="1"/>
  <c r="F69"/>
  <c r="Z60" i="53"/>
  <c r="Z61"/>
  <c r="Z62"/>
  <c r="Z63"/>
  <c r="Z64"/>
  <c r="D58" i="54" l="1"/>
  <c r="D31" i="36"/>
  <c r="F68" i="54" l="1"/>
  <c r="Z28" i="53"/>
  <c r="Z19"/>
  <c r="Z49"/>
  <c r="Z50"/>
  <c r="F19" i="36" l="1"/>
  <c r="F18"/>
  <c r="F31" l="1"/>
  <c r="E36" i="40"/>
  <c r="F66" i="54" l="1"/>
  <c r="Z12" i="53" l="1"/>
  <c r="D12" i="54"/>
  <c r="F52"/>
  <c r="C43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F65" i="54"/>
  <c r="F64"/>
  <c r="F63"/>
  <c r="F62"/>
  <c r="F61"/>
  <c r="F60"/>
  <c r="F59"/>
  <c r="F56"/>
  <c r="D55"/>
  <c r="C55"/>
  <c r="F51"/>
  <c r="F50"/>
  <c r="F49"/>
  <c r="F48"/>
  <c r="F47"/>
  <c r="F46"/>
  <c r="F45"/>
  <c r="F44"/>
  <c r="F34"/>
  <c r="D33"/>
  <c r="C33"/>
  <c r="F31"/>
  <c r="F30"/>
  <c r="D29"/>
  <c r="C29"/>
  <c r="F27"/>
  <c r="D26"/>
  <c r="C26"/>
  <c r="F25"/>
  <c r="F24"/>
  <c r="D23"/>
  <c r="C23"/>
  <c r="F22"/>
  <c r="F21"/>
  <c r="F20"/>
  <c r="F19"/>
  <c r="F18"/>
  <c r="F17"/>
  <c r="F16"/>
  <c r="F15"/>
  <c r="F14"/>
  <c r="F13"/>
  <c r="C12"/>
  <c r="F11"/>
  <c r="F10"/>
  <c r="F9"/>
  <c r="D8"/>
  <c r="C8"/>
  <c r="M180" i="53"/>
  <c r="Y187"/>
  <c r="Y188" s="1"/>
  <c r="X187"/>
  <c r="X188" s="1"/>
  <c r="W187"/>
  <c r="W188" s="1"/>
  <c r="V187"/>
  <c r="V188" s="1"/>
  <c r="U187"/>
  <c r="U188" s="1"/>
  <c r="T187"/>
  <c r="T188" s="1"/>
  <c r="S187"/>
  <c r="S188" s="1"/>
  <c r="R187"/>
  <c r="R188" s="1"/>
  <c r="Q187"/>
  <c r="Q188" s="1"/>
  <c r="P187"/>
  <c r="P188" s="1"/>
  <c r="O187"/>
  <c r="O188" s="1"/>
  <c r="N187"/>
  <c r="N188" s="1"/>
  <c r="M187"/>
  <c r="M188" s="1"/>
  <c r="L187"/>
  <c r="L188" s="1"/>
  <c r="K187"/>
  <c r="K188" s="1"/>
  <c r="J187"/>
  <c r="J188" s="1"/>
  <c r="I187"/>
  <c r="I188" s="1"/>
  <c r="H187"/>
  <c r="H188" s="1"/>
  <c r="G187"/>
  <c r="G188" s="1"/>
  <c r="F187"/>
  <c r="F188" s="1"/>
  <c r="E187"/>
  <c r="E188" s="1"/>
  <c r="D187"/>
  <c r="D188" s="1"/>
  <c r="C187"/>
  <c r="C188" s="1"/>
  <c r="B187"/>
  <c r="B188" s="1"/>
  <c r="Z186"/>
  <c r="Z185"/>
  <c r="Z184"/>
  <c r="Z183"/>
  <c r="Z182"/>
  <c r="Y180"/>
  <c r="X180"/>
  <c r="X181" s="1"/>
  <c r="W180"/>
  <c r="V180"/>
  <c r="V181" s="1"/>
  <c r="U180"/>
  <c r="T180"/>
  <c r="T181" s="1"/>
  <c r="S180"/>
  <c r="R180"/>
  <c r="R181" s="1"/>
  <c r="Q180"/>
  <c r="P180"/>
  <c r="P181" s="1"/>
  <c r="O180"/>
  <c r="N180"/>
  <c r="N181" s="1"/>
  <c r="L180"/>
  <c r="L181" s="1"/>
  <c r="K180"/>
  <c r="J180"/>
  <c r="J181" s="1"/>
  <c r="I180"/>
  <c r="H180"/>
  <c r="H181" s="1"/>
  <c r="G180"/>
  <c r="F180"/>
  <c r="F181" s="1"/>
  <c r="E180"/>
  <c r="D180"/>
  <c r="D181" s="1"/>
  <c r="C180"/>
  <c r="B180"/>
  <c r="B181" s="1"/>
  <c r="B190" s="1"/>
  <c r="Z179"/>
  <c r="Z177"/>
  <c r="Z176"/>
  <c r="Z175"/>
  <c r="Z174"/>
  <c r="Z35"/>
  <c r="Y145"/>
  <c r="Y146" s="1"/>
  <c r="X145"/>
  <c r="X146" s="1"/>
  <c r="W145"/>
  <c r="W146" s="1"/>
  <c r="V145"/>
  <c r="V146" s="1"/>
  <c r="U145"/>
  <c r="U146" s="1"/>
  <c r="T145"/>
  <c r="T146" s="1"/>
  <c r="S145"/>
  <c r="S146" s="1"/>
  <c r="R145"/>
  <c r="R146" s="1"/>
  <c r="Q145"/>
  <c r="Q146" s="1"/>
  <c r="P145"/>
  <c r="P146" s="1"/>
  <c r="O145"/>
  <c r="O146" s="1"/>
  <c r="N145"/>
  <c r="N146" s="1"/>
  <c r="M145"/>
  <c r="M146" s="1"/>
  <c r="L145"/>
  <c r="L146" s="1"/>
  <c r="K145"/>
  <c r="K146" s="1"/>
  <c r="J145"/>
  <c r="J146" s="1"/>
  <c r="I145"/>
  <c r="I146" s="1"/>
  <c r="H145"/>
  <c r="H146" s="1"/>
  <c r="G145"/>
  <c r="G146" s="1"/>
  <c r="F145"/>
  <c r="F146" s="1"/>
  <c r="E145"/>
  <c r="E146" s="1"/>
  <c r="D145"/>
  <c r="D146" s="1"/>
  <c r="C145"/>
  <c r="C146" s="1"/>
  <c r="B145"/>
  <c r="B146" s="1"/>
  <c r="Z144"/>
  <c r="Z143"/>
  <c r="Z142"/>
  <c r="Z141"/>
  <c r="Z140"/>
  <c r="Y138"/>
  <c r="Y139" s="1"/>
  <c r="X138"/>
  <c r="X139" s="1"/>
  <c r="W138"/>
  <c r="W139" s="1"/>
  <c r="V138"/>
  <c r="V139" s="1"/>
  <c r="U138"/>
  <c r="U139" s="1"/>
  <c r="T138"/>
  <c r="T139" s="1"/>
  <c r="S138"/>
  <c r="S139" s="1"/>
  <c r="R138"/>
  <c r="R139" s="1"/>
  <c r="Q138"/>
  <c r="Q139" s="1"/>
  <c r="P138"/>
  <c r="P139" s="1"/>
  <c r="O138"/>
  <c r="O139" s="1"/>
  <c r="N138"/>
  <c r="N139" s="1"/>
  <c r="M138"/>
  <c r="M139" s="1"/>
  <c r="L138"/>
  <c r="L139" s="1"/>
  <c r="K138"/>
  <c r="K139" s="1"/>
  <c r="J138"/>
  <c r="J139" s="1"/>
  <c r="I138"/>
  <c r="I139" s="1"/>
  <c r="H138"/>
  <c r="H139" s="1"/>
  <c r="G138"/>
  <c r="G139" s="1"/>
  <c r="F138"/>
  <c r="F139" s="1"/>
  <c r="E138"/>
  <c r="E139" s="1"/>
  <c r="D138"/>
  <c r="D139" s="1"/>
  <c r="C138"/>
  <c r="C139" s="1"/>
  <c r="B138"/>
  <c r="B139" s="1"/>
  <c r="Z137"/>
  <c r="Z135"/>
  <c r="Z134"/>
  <c r="Z133"/>
  <c r="Z132"/>
  <c r="A129"/>
  <c r="Y114"/>
  <c r="Y115" s="1"/>
  <c r="X114"/>
  <c r="X115" s="1"/>
  <c r="W114"/>
  <c r="W115" s="1"/>
  <c r="V114"/>
  <c r="V115" s="1"/>
  <c r="U114"/>
  <c r="U115" s="1"/>
  <c r="T114"/>
  <c r="T115" s="1"/>
  <c r="S114"/>
  <c r="S115" s="1"/>
  <c r="R114"/>
  <c r="R115" s="1"/>
  <c r="Q114"/>
  <c r="Q115" s="1"/>
  <c r="P114"/>
  <c r="P115" s="1"/>
  <c r="O114"/>
  <c r="O115" s="1"/>
  <c r="N114"/>
  <c r="N115" s="1"/>
  <c r="L114"/>
  <c r="L115" s="1"/>
  <c r="K114"/>
  <c r="K115" s="1"/>
  <c r="J114"/>
  <c r="J115" s="1"/>
  <c r="I114"/>
  <c r="I115" s="1"/>
  <c r="H114"/>
  <c r="H115" s="1"/>
  <c r="G114"/>
  <c r="G115" s="1"/>
  <c r="F114"/>
  <c r="F115" s="1"/>
  <c r="E114"/>
  <c r="E115" s="1"/>
  <c r="D114"/>
  <c r="D115" s="1"/>
  <c r="C114"/>
  <c r="C115" s="1"/>
  <c r="B114"/>
  <c r="Z113"/>
  <c r="Z112"/>
  <c r="M114"/>
  <c r="M115" s="1"/>
  <c r="Z111"/>
  <c r="Z110"/>
  <c r="Z109"/>
  <c r="Y107"/>
  <c r="Y108" s="1"/>
  <c r="X107"/>
  <c r="X108" s="1"/>
  <c r="W107"/>
  <c r="W108" s="1"/>
  <c r="V107"/>
  <c r="V108" s="1"/>
  <c r="U107"/>
  <c r="U108" s="1"/>
  <c r="T107"/>
  <c r="T108" s="1"/>
  <c r="S107"/>
  <c r="S108" s="1"/>
  <c r="R107"/>
  <c r="R108" s="1"/>
  <c r="Q107"/>
  <c r="Q108" s="1"/>
  <c r="P107"/>
  <c r="P108" s="1"/>
  <c r="O107"/>
  <c r="O108" s="1"/>
  <c r="N107"/>
  <c r="N108" s="1"/>
  <c r="M107"/>
  <c r="M108" s="1"/>
  <c r="L107"/>
  <c r="L108" s="1"/>
  <c r="K107"/>
  <c r="K108" s="1"/>
  <c r="J107"/>
  <c r="J108" s="1"/>
  <c r="I107"/>
  <c r="I108" s="1"/>
  <c r="H107"/>
  <c r="H108" s="1"/>
  <c r="G107"/>
  <c r="G108" s="1"/>
  <c r="F107"/>
  <c r="F108" s="1"/>
  <c r="E107"/>
  <c r="E108" s="1"/>
  <c r="D107"/>
  <c r="D108" s="1"/>
  <c r="C107"/>
  <c r="B107"/>
  <c r="B108" s="1"/>
  <c r="Z106"/>
  <c r="Z105"/>
  <c r="Z104"/>
  <c r="Z103"/>
  <c r="Z102"/>
  <c r="Z101"/>
  <c r="Z100"/>
  <c r="Z99"/>
  <c r="Y98"/>
  <c r="W98"/>
  <c r="X97"/>
  <c r="X98" s="1"/>
  <c r="V97"/>
  <c r="V98" s="1"/>
  <c r="U97"/>
  <c r="U98" s="1"/>
  <c r="T97"/>
  <c r="T98" s="1"/>
  <c r="S97"/>
  <c r="S98" s="1"/>
  <c r="R97"/>
  <c r="R98" s="1"/>
  <c r="Q97"/>
  <c r="Q98" s="1"/>
  <c r="P97"/>
  <c r="P98" s="1"/>
  <c r="O97"/>
  <c r="O98" s="1"/>
  <c r="N97"/>
  <c r="N98" s="1"/>
  <c r="M97"/>
  <c r="M98" s="1"/>
  <c r="L97"/>
  <c r="L98" s="1"/>
  <c r="K97"/>
  <c r="K98" s="1"/>
  <c r="J97"/>
  <c r="J98" s="1"/>
  <c r="I97"/>
  <c r="I98" s="1"/>
  <c r="H97"/>
  <c r="H98" s="1"/>
  <c r="G97"/>
  <c r="G98" s="1"/>
  <c r="F97"/>
  <c r="F98" s="1"/>
  <c r="E97"/>
  <c r="E98" s="1"/>
  <c r="D97"/>
  <c r="D98" s="1"/>
  <c r="C97"/>
  <c r="C98" s="1"/>
  <c r="B97"/>
  <c r="Z96"/>
  <c r="Z94"/>
  <c r="Z93"/>
  <c r="Z92"/>
  <c r="Z91"/>
  <c r="Z90"/>
  <c r="Y81"/>
  <c r="Y82" s="1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G82" s="1"/>
  <c r="F81"/>
  <c r="F82" s="1"/>
  <c r="E81"/>
  <c r="E82" s="1"/>
  <c r="D81"/>
  <c r="D82" s="1"/>
  <c r="C81"/>
  <c r="B81"/>
  <c r="Z80"/>
  <c r="Z79"/>
  <c r="Z78"/>
  <c r="Z77"/>
  <c r="Z75"/>
  <c r="Z74"/>
  <c r="Z73"/>
  <c r="Z72"/>
  <c r="Z71"/>
  <c r="Z70"/>
  <c r="Z69"/>
  <c r="Z68"/>
  <c r="Z67"/>
  <c r="Y65"/>
  <c r="Y66" s="1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Y57"/>
  <c r="Y58" s="1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Z56"/>
  <c r="Z55"/>
  <c r="Z54"/>
  <c r="Z53"/>
  <c r="Z52"/>
  <c r="Z51"/>
  <c r="A46"/>
  <c r="A171" s="1"/>
  <c r="Y37"/>
  <c r="Y38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C37"/>
  <c r="C38" s="1"/>
  <c r="Z36"/>
  <c r="Z34"/>
  <c r="Z33"/>
  <c r="Z32"/>
  <c r="Z31"/>
  <c r="Z30"/>
  <c r="Z29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Z25"/>
  <c r="Z24"/>
  <c r="Z23"/>
  <c r="Z22"/>
  <c r="Z21"/>
  <c r="Z20"/>
  <c r="X17"/>
  <c r="W17"/>
  <c r="W18" s="1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Z16"/>
  <c r="Z15"/>
  <c r="Z14"/>
  <c r="Z13"/>
  <c r="Z11"/>
  <c r="Z10"/>
  <c r="Z8"/>
  <c r="Y17"/>
  <c r="Z7"/>
  <c r="N190" l="1"/>
  <c r="J190"/>
  <c r="J189"/>
  <c r="F190"/>
  <c r="F189"/>
  <c r="T189"/>
  <c r="F33" i="54"/>
  <c r="D189" i="53"/>
  <c r="D190"/>
  <c r="H190"/>
  <c r="H189"/>
  <c r="L190"/>
  <c r="L189"/>
  <c r="F43" i="54"/>
  <c r="C108" i="53"/>
  <c r="N189"/>
  <c r="R190"/>
  <c r="R189"/>
  <c r="V190"/>
  <c r="V189"/>
  <c r="P190"/>
  <c r="X190"/>
  <c r="B189"/>
  <c r="X189"/>
  <c r="P189"/>
  <c r="T147"/>
  <c r="X147"/>
  <c r="Z180"/>
  <c r="Z181" s="1"/>
  <c r="Z187"/>
  <c r="Z188" s="1"/>
  <c r="F55" i="54"/>
  <c r="F29"/>
  <c r="F26"/>
  <c r="F23"/>
  <c r="F12"/>
  <c r="C7"/>
  <c r="C72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90" i="53"/>
  <c r="C181"/>
  <c r="C190" s="1"/>
  <c r="G181"/>
  <c r="K181"/>
  <c r="O181"/>
  <c r="S181"/>
  <c r="W181"/>
  <c r="E181"/>
  <c r="E190" s="1"/>
  <c r="I181"/>
  <c r="M181"/>
  <c r="M190" s="1"/>
  <c r="Q181"/>
  <c r="U181"/>
  <c r="Y181"/>
  <c r="X18"/>
  <c r="X148" s="1"/>
  <c r="B37"/>
  <c r="B38" s="1"/>
  <c r="Z114"/>
  <c r="Z115" s="1"/>
  <c r="E148"/>
  <c r="I147"/>
  <c r="U147"/>
  <c r="Z145"/>
  <c r="Z146" s="1"/>
  <c r="H148"/>
  <c r="P147"/>
  <c r="Z138"/>
  <c r="Z139" s="1"/>
  <c r="W148"/>
  <c r="P18"/>
  <c r="U18"/>
  <c r="U148" s="1"/>
  <c r="H147"/>
  <c r="L147"/>
  <c r="L18"/>
  <c r="L148" s="1"/>
  <c r="F147"/>
  <c r="J147"/>
  <c r="N147"/>
  <c r="R147"/>
  <c r="V147"/>
  <c r="I18"/>
  <c r="I148" s="1"/>
  <c r="N18"/>
  <c r="N148" s="1"/>
  <c r="T18"/>
  <c r="T148" s="1"/>
  <c r="B115"/>
  <c r="M147"/>
  <c r="J148"/>
  <c r="Z107"/>
  <c r="Z108" s="1"/>
  <c r="Z97"/>
  <c r="Z98" s="1"/>
  <c r="V148"/>
  <c r="S148"/>
  <c r="Z81"/>
  <c r="K148"/>
  <c r="B82"/>
  <c r="E147"/>
  <c r="G148"/>
  <c r="D147"/>
  <c r="O148"/>
  <c r="P148"/>
  <c r="D148"/>
  <c r="F148"/>
  <c r="Z17"/>
  <c r="Z18" s="1"/>
  <c r="Z26"/>
  <c r="Z27" s="1"/>
  <c r="Y18"/>
  <c r="Y148" s="1"/>
  <c r="Y147"/>
  <c r="M148"/>
  <c r="R148"/>
  <c r="B66"/>
  <c r="Z57"/>
  <c r="Z58" s="1"/>
  <c r="Q65"/>
  <c r="Q66" s="1"/>
  <c r="Q148" s="1"/>
  <c r="C82"/>
  <c r="C147"/>
  <c r="G147"/>
  <c r="K147"/>
  <c r="O147"/>
  <c r="S147"/>
  <c r="W147"/>
  <c r="B98"/>
  <c r="Z65"/>
  <c r="L42" i="52"/>
  <c r="G190" i="53" l="1"/>
  <c r="G189"/>
  <c r="K190"/>
  <c r="K189"/>
  <c r="I190"/>
  <c r="I189"/>
  <c r="C148"/>
  <c r="Z37"/>
  <c r="Z147" s="1"/>
  <c r="B147"/>
  <c r="Z189"/>
  <c r="Z190" s="1"/>
  <c r="M189"/>
  <c r="S190"/>
  <c r="S189"/>
  <c r="C189"/>
  <c r="Q190"/>
  <c r="Q189"/>
  <c r="W190"/>
  <c r="W189"/>
  <c r="U190"/>
  <c r="U189"/>
  <c r="E189"/>
  <c r="Y190"/>
  <c r="Y189"/>
  <c r="O190"/>
  <c r="O189"/>
  <c r="F7" i="54"/>
  <c r="W101" i="56"/>
  <c r="W104"/>
  <c r="W108" s="1"/>
  <c r="D72" i="54"/>
  <c r="F72" s="1"/>
  <c r="B148" i="53"/>
  <c r="Z82"/>
  <c r="Z66"/>
  <c r="Q147"/>
  <c r="L20" i="40"/>
  <c r="L166"/>
  <c r="L128"/>
  <c r="I126"/>
  <c r="L91"/>
  <c r="I7"/>
  <c r="L5" s="1"/>
  <c r="C74" i="35"/>
  <c r="F9" i="36"/>
  <c r="E12"/>
  <c r="H63" i="35" s="1"/>
  <c r="H74" s="1"/>
  <c r="D12" i="36"/>
  <c r="H23" i="35" s="1"/>
  <c r="C12" i="36"/>
  <c r="F8"/>
  <c r="F7"/>
  <c r="F6"/>
  <c r="F5"/>
  <c r="F4"/>
  <c r="L78" i="35"/>
  <c r="A61"/>
  <c r="H61"/>
  <c r="C61"/>
  <c r="J42"/>
  <c r="J41"/>
  <c r="J40"/>
  <c r="L39"/>
  <c r="J39"/>
  <c r="J38"/>
  <c r="J37"/>
  <c r="J26"/>
  <c r="C43"/>
  <c r="A19"/>
  <c r="C19"/>
  <c r="Z38" i="53" l="1"/>
  <c r="Z148" s="1"/>
  <c r="L9" i="40"/>
  <c r="H43" i="35"/>
  <c r="C75"/>
  <c r="C44"/>
  <c r="H75"/>
  <c r="F12" i="36"/>
  <c r="H19" i="35"/>
  <c r="H44" l="1"/>
  <c r="L17" i="40"/>
  <c r="C76" i="35"/>
  <c r="C79"/>
  <c r="H76" l="1"/>
  <c r="H79"/>
  <c r="M79" l="1"/>
  <c r="K79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2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3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1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2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3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4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5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6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2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3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A142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3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4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<sst xmlns="http://schemas.openxmlformats.org/spreadsheetml/2006/main" count="1042" uniqueCount="433">
  <si>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</si>
  <si>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</si>
  <si>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</si>
  <si>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</si>
  <si>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</si>
  <si>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</si>
  <si>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</si>
  <si>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</si>
  <si>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</si>
  <si>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</si>
  <si>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</si>
  <si>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</si>
  <si>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</si>
  <si>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</si>
  <si>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</si>
  <si>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</si>
  <si>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</si>
  <si>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</si>
  <si>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</si>
  <si>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</si>
  <si>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</si>
  <si>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</si>
  <si>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</si>
  <si>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</si>
  <si>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</si>
  <si>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</si>
  <si>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</si>
  <si>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</si>
  <si>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</si>
  <si>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</si>
  <si>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</si>
  <si>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</si>
  <si>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</si>
  <si>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</si>
  <si>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</si>
  <si>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</si>
  <si>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</si>
  <si>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</si>
  <si>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</si>
  <si>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</si>
  <si>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</si>
  <si>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</si>
  <si>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</si>
  <si>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</si>
  <si>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</si>
  <si>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</si>
  <si>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</si>
  <si>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</si>
  <si>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</si>
  <si>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</si>
  <si>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</si>
  <si>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</si>
  <si>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</si>
  <si>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</si>
  <si>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</si>
  <si>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</si>
  <si>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</si>
  <si>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</si>
  <si>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หัวหน้าส่วนการคลัง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</si>
  <si>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</si>
  <si>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</si>
  <si>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</si>
  <si>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</si>
  <si>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</si>
  <si>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</si>
  <si>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</si>
  <si>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</si>
  <si>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</si>
  <si>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</si>
  <si>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</si>
  <si>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</si>
  <si>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</si>
  <si>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</si>
  <si>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</si>
  <si>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</si>
  <si>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</si>
  <si>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</si>
  <si>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</si>
  <si>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</si>
  <si>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</si>
  <si>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</si>
  <si>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</si>
  <si>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</si>
  <si>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</si>
  <si>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</si>
  <si>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</si>
  <si>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</si>
  <si>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</si>
  <si>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</si>
  <si>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</si>
  <si>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</si>
  <si>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</si>
  <si>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</si>
  <si>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</si>
  <si>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</si>
  <si>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</si>
  <si>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</si>
  <si>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</si>
  <si>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</si>
  <si>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</si>
  <si>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</si>
  <si>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</si>
  <si>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</si>
  <si>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</si>
  <si>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</si>
  <si>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</si>
  <si>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</si>
  <si>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</si>
  <si>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</si>
  <si>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</si>
  <si>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</si>
  <si>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</si>
  <si>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</si>
  <si>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411000</t>
  </si>
  <si>
    <t>412000</t>
  </si>
  <si>
    <t>413000</t>
  </si>
  <si>
    <t>414000</t>
  </si>
  <si>
    <t>415000</t>
  </si>
  <si>
    <t>421000</t>
  </si>
  <si>
    <t>431000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</si>
  <si>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</si>
  <si>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</si>
  <si>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</si>
  <si>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</si>
  <si>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</si>
  <si>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</si>
  <si>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</si>
  <si>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</si>
  <si>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</si>
  <si>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</si>
  <si>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</si>
  <si>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</si>
  <si>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</si>
  <si>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</si>
  <si>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</si>
  <si>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</si>
  <si>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</si>
  <si>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</si>
  <si>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</si>
  <si>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</si>
  <si>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</si>
  <si>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</si>
  <si>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</si>
  <si>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</si>
  <si>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</si>
  <si>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</si>
  <si>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</si>
  <si>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</si>
  <si>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</si>
  <si>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</si>
  <si>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</si>
  <si>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</si>
  <si>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</si>
  <si>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</si>
  <si>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</si>
  <si>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30000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</si>
  <si>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</si>
  <si>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</si>
  <si>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</si>
  <si>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</si>
  <si>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</si>
  <si>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</si>
  <si>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</si>
  <si>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</si>
  <si>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</si>
  <si>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หมวดเงินอุดหนุนเฉพาะกิจ</t>
  </si>
  <si>
    <t>210400</t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</si>
  <si>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</si>
  <si>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</si>
  <si>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</si>
  <si>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</si>
  <si>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</si>
  <si>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</si>
  <si>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</si>
  <si>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</si>
  <si>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</si>
  <si>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</si>
  <si>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</si>
  <si>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</si>
  <si>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</si>
  <si>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</si>
  <si>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</si>
  <si>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</si>
  <si>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</si>
  <si>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</si>
  <si>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</si>
  <si>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</si>
  <si>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210600</t>
  </si>
  <si>
    <t>เงินเดือน (ฝ่ายชั่วคราว)</t>
  </si>
  <si>
    <t>ลูกหนี้-เงินยืมเงินงบประมาณ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</si>
  <si>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</si>
  <si>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</si>
  <si>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</si>
  <si>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</si>
  <si>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</si>
  <si>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</si>
  <si>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</si>
  <si>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</si>
  <si>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</si>
  <si>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</si>
  <si>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</si>
  <si>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</si>
  <si>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</si>
  <si>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</si>
  <si>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</si>
  <si>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</si>
  <si>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</si>
  <si>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</si>
  <si>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</si>
  <si>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</si>
  <si>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</si>
  <si>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</si>
  <si>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</si>
  <si>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</si>
  <si>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</si>
  <si>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</si>
  <si>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</si>
  <si>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</si>
  <si>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</si>
  <si>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</si>
  <si>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</si>
  <si>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</si>
  <si>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</si>
  <si>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</si>
  <si>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</si>
  <si>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</si>
  <si>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</si>
  <si>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</si>
  <si>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</si>
  <si>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</si>
  <si>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</si>
  <si>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</si>
  <si>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</si>
  <si>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</si>
  <si>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</si>
  <si>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</si>
  <si>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</si>
  <si>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</si>
  <si>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</si>
  <si>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</si>
  <si>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</si>
  <si>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</si>
  <si>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</si>
  <si>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</si>
  <si>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</si>
  <si>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</si>
  <si>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</si>
  <si>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</si>
  <si>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</si>
  <si>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</si>
  <si>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</si>
  <si>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</si>
  <si>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</si>
  <si>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</si>
  <si>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</si>
  <si>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</si>
  <si>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</si>
  <si>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</si>
  <si>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</si>
  <si>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</si>
  <si>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</si>
  <si>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</si>
  <si>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</si>
  <si>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</si>
  <si>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</si>
  <si>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</si>
  <si>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</si>
  <si>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</si>
  <si>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</si>
  <si>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</si>
  <si>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</si>
  <si>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</si>
  <si>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</si>
  <si>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</si>
  <si>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</si>
  <si>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</si>
  <si>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</si>
  <si>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</si>
  <si>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</si>
  <si>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</si>
  <si>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</si>
  <si>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</si>
  <si>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</si>
  <si>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</si>
  <si>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</si>
  <si>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</si>
  <si>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ลำดับที่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</si>
  <si>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</si>
  <si>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</si>
  <si>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</si>
  <si>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</si>
  <si>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</si>
  <si>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</si>
  <si>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</si>
  <si>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</si>
  <si>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</si>
  <si>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</si>
  <si>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</si>
  <si>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</si>
  <si>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</si>
  <si>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</si>
  <si>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</si>
  <si>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</si>
  <si>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</si>
  <si>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</si>
  <si>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</si>
  <si>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</si>
  <si>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</si>
  <si>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</si>
  <si>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</si>
  <si>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</si>
  <si>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</si>
  <si>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</si>
  <si>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</si>
  <si>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</si>
  <si>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</si>
  <si>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</si>
  <si>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</si>
  <si>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</si>
  <si>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</si>
  <si>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</si>
  <si>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</si>
  <si>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</si>
  <si>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</si>
  <si>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</si>
  <si>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</si>
  <si>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</si>
  <si>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</si>
  <si>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</si>
  <si>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</si>
  <si>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</si>
  <si>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</si>
  <si>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</si>
  <si>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</si>
  <si>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</si>
  <si>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</si>
  <si>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</si>
  <si>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</si>
  <si>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</si>
  <si>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</si>
  <si>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</si>
  <si>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</si>
  <si>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</si>
  <si>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</si>
  <si>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</si>
  <si>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</si>
  <si>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</si>
  <si>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</si>
  <si>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</si>
  <si>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</si>
  <si>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</si>
  <si>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</si>
  <si>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</si>
  <si>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</si>
  <si>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</si>
  <si>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</si>
  <si>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</si>
  <si>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</si>
  <si>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</si>
  <si>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</si>
  <si>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</si>
  <si>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</si>
  <si>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</si>
  <si>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</si>
  <si>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</si>
  <si>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</si>
  <si>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</si>
  <si>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</si>
  <si>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</si>
  <si>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เงินที่เก็บตามกฎหมายว่าด้วยอุทยานแห่งชาติ</t>
  </si>
  <si>
    <t>หมายหตุ 3</t>
  </si>
  <si>
    <t>111000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</si>
  <si>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</si>
  <si>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</si>
  <si>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</si>
  <si>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</si>
  <si>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สวัสดิการครู ศพด</t>
  </si>
  <si>
    <t>(นายประดับ  หมื่นจร)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</si>
  <si>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</si>
  <si>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</si>
  <si>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</si>
  <si>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</si>
  <si>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โครงการสร้างพลังเยาวชนฯ</t>
  </si>
  <si>
    <t>รายรับ</t>
  </si>
  <si>
    <t>ครุภัณฑ์คอมพิวเตอร์</t>
  </si>
  <si>
    <t>โครงการยาเสพติดฯ</t>
  </si>
  <si>
    <t>วัสดุการศึกษา</t>
  </si>
  <si>
    <t>(นางกัญญภัทร  พ่วงทอง)</t>
  </si>
  <si>
    <t xml:space="preserve">       ผู้อำนวยการกองคลัง</t>
  </si>
  <si>
    <t>ทุนการศึกษาครู ผดด</t>
  </si>
  <si>
    <t>รายจ่ายค้างจ่าย(เงินอุดหนุนเฉพาะกิจ)</t>
  </si>
  <si>
    <t xml:space="preserve">ปีงบประมาณ 2557    </t>
  </si>
  <si>
    <t>ลูกหนี้ภาษีบำรุงท้องที่</t>
  </si>
  <si>
    <t>ลูกหนี้รายได้อื่น</t>
  </si>
  <si>
    <t>110602</t>
  </si>
  <si>
    <t>110604</t>
  </si>
  <si>
    <t>ลูกหนี้อื่น(เศรษฐกิจ)</t>
  </si>
  <si>
    <t>ลูกหนี้รายได้อื่น(ค่าน้ำประปา)</t>
  </si>
  <si>
    <t>110609</t>
  </si>
  <si>
    <t>310000</t>
  </si>
  <si>
    <t>รายจ่ายค้างจ่ายระหว่างดำเนินการ</t>
  </si>
  <si>
    <t>ฎีกาค้างจ่าย</t>
  </si>
  <si>
    <t>210401</t>
  </si>
  <si>
    <t>210403</t>
  </si>
  <si>
    <t xml:space="preserve">งบทดลอง </t>
  </si>
  <si>
    <t>รับคืนเงินอุดหนุนเฉพาะกิจ-เบี้ยยังชีพคนชรา</t>
  </si>
  <si>
    <t>เงินรับฝาก- เงินอุดหนุนเฉพาะกิจ</t>
  </si>
  <si>
    <t>ค่าธรรมเนียมอากรป่าไม้</t>
  </si>
  <si>
    <t>ค่าถุงยังชีพช่วยเหลือผู้ประสบอุทกภัย</t>
  </si>
  <si>
    <t>รายละเอียด เงินฝากระหว่างทาง</t>
  </si>
  <si>
    <t>ลูกหนี้            -  ภาษีบำรุงท้องที่</t>
  </si>
  <si>
    <t>+</t>
  </si>
  <si>
    <t>เงินรับฝาก-ประกันสังคม</t>
  </si>
  <si>
    <t>ภาษียาสูบ</t>
  </si>
  <si>
    <t xml:space="preserve"> - ประกันสังคม</t>
  </si>
  <si>
    <t>17/2/57</t>
  </si>
  <si>
    <t>0089794</t>
  </si>
  <si>
    <t>0089807</t>
  </si>
  <si>
    <t>ผู้อำนวยการกองคลัง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</si>
  <si>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 </t>
    </r>
  </si>
  <si>
    <t xml:space="preserve">                            ประจำเดือน เมษายน พ.ศ.2557  </t>
  </si>
  <si>
    <t>ประจำเดือนเมษายน 2557</t>
  </si>
  <si>
    <t>ประจำเดือนเมษายน  2557</t>
  </si>
  <si>
    <t>ประจำเดือน  เมษายน  2557</t>
  </si>
  <si>
    <t>หมายเหตุประกอบงบทดลอง  ประจำเดือน  เมษายน  2557</t>
  </si>
  <si>
    <t xml:space="preserve"> 30 เมษายน 2557</t>
  </si>
  <si>
    <t>23/4/57</t>
  </si>
  <si>
    <t>30/4/57</t>
  </si>
  <si>
    <t>2898203</t>
  </si>
  <si>
    <t>2898204</t>
  </si>
  <si>
    <t>2898208</t>
  </si>
  <si>
    <t>วันที่  30 เมษายน  2557</t>
  </si>
  <si>
    <t>วันที่  30  เมษายน 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</si>
</sst>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4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8"/>
      <name val="Microsoft Sans Serif"/>
      <family val="2"/>
    </font>
    <font>
      <sz val="15"/>
      <name val="Cordia New"/>
      <family val="2"/>
    </font>
    <font>
      <sz val="14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b/>
      <sz val="14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sz val="14"/>
      <name val="Cordia New"/>
      <family val="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b/>
      <u/>
      <sz val="14"/>
      <name val="Cordia New"/>
      <family val="2"/>
    </font>
    <font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</cellStyleXfs>
  <cellXfs count="542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4" applyNumberFormat="1" applyFont="1" applyBorder="1" applyAlignment="1">
      <alignment horizontal="center"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4" applyNumberFormat="1" applyFont="1" applyBorder="1" applyAlignment="1">
      <alignment horizontal="center" vertical="center"/>
    </xf>
    <xf numFmtId="0" fontId="2" fillId="0" borderId="0" xfId="4" applyFont="1" applyBorder="1"/>
    <xf numFmtId="49" fontId="2" fillId="0" borderId="0" xfId="4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0" borderId="0" xfId="0" applyNumberFormat="1"/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4" applyFont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0" fontId="2" fillId="0" borderId="5" xfId="4" applyFont="1" applyBorder="1" applyAlignment="1">
      <alignment horizontal="left" vertical="center"/>
    </xf>
    <xf numFmtId="187" fontId="3" fillId="0" borderId="6" xfId="0" applyNumberFormat="1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" fontId="16" fillId="0" borderId="36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 vertical="center"/>
    </xf>
    <xf numFmtId="43" fontId="16" fillId="0" borderId="14" xfId="1" applyNumberFormat="1" applyFont="1" applyFill="1" applyBorder="1"/>
    <xf numFmtId="43" fontId="16" fillId="0" borderId="14" xfId="1" applyNumberFormat="1" applyFont="1" applyFill="1" applyBorder="1" applyAlignment="1"/>
    <xf numFmtId="43" fontId="16" fillId="0" borderId="39" xfId="1" applyNumberFormat="1" applyFont="1" applyFill="1" applyBorder="1"/>
    <xf numFmtId="43" fontId="16" fillId="0" borderId="9" xfId="1" applyNumberFormat="1" applyFont="1" applyFill="1" applyBorder="1"/>
    <xf numFmtId="1" fontId="16" fillId="0" borderId="40" xfId="1" applyNumberFormat="1" applyFont="1" applyFill="1" applyBorder="1" applyAlignment="1">
      <alignment horizontal="center"/>
    </xf>
    <xf numFmtId="43" fontId="16" fillId="0" borderId="10" xfId="1" applyNumberFormat="1" applyFont="1" applyFill="1" applyBorder="1"/>
    <xf numFmtId="43" fontId="16" fillId="0" borderId="37" xfId="1" applyNumberFormat="1" applyFont="1" applyFill="1" applyBorder="1"/>
    <xf numFmtId="43" fontId="16" fillId="0" borderId="31" xfId="1" applyNumberFormat="1" applyFont="1" applyFill="1" applyBorder="1"/>
    <xf numFmtId="43" fontId="16" fillId="0" borderId="7" xfId="1" applyNumberFormat="1" applyFont="1" applyFill="1" applyBorder="1"/>
    <xf numFmtId="43" fontId="16" fillId="0" borderId="35" xfId="1" applyNumberFormat="1" applyFont="1" applyFill="1" applyBorder="1"/>
    <xf numFmtId="43" fontId="16" fillId="0" borderId="0" xfId="1" applyNumberFormat="1" applyFont="1" applyFill="1" applyBorder="1"/>
    <xf numFmtId="43" fontId="16" fillId="0" borderId="13" xfId="1" applyNumberFormat="1" applyFont="1" applyFill="1" applyBorder="1"/>
    <xf numFmtId="43" fontId="16" fillId="0" borderId="41" xfId="1" applyNumberFormat="1" applyFont="1" applyFill="1" applyBorder="1"/>
    <xf numFmtId="43" fontId="16" fillId="0" borderId="38" xfId="1" applyNumberFormat="1" applyFont="1" applyFill="1" applyBorder="1"/>
    <xf numFmtId="1" fontId="16" fillId="0" borderId="42" xfId="1" applyNumberFormat="1" applyFont="1" applyFill="1" applyBorder="1" applyAlignment="1">
      <alignment horizontal="center"/>
    </xf>
    <xf numFmtId="43" fontId="16" fillId="0" borderId="9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 vertical="center"/>
    </xf>
    <xf numFmtId="43" fontId="16" fillId="0" borderId="39" xfId="1" applyNumberFormat="1" applyFont="1" applyFill="1" applyBorder="1" applyAlignment="1">
      <alignment horizontal="center" vertical="center"/>
    </xf>
    <xf numFmtId="43" fontId="16" fillId="0" borderId="10" xfId="1" applyNumberFormat="1" applyFont="1" applyFill="1" applyBorder="1" applyAlignment="1">
      <alignment horizontal="right"/>
    </xf>
    <xf numFmtId="43" fontId="16" fillId="0" borderId="10" xfId="1" applyNumberFormat="1" applyFont="1" applyFill="1" applyBorder="1" applyAlignment="1">
      <alignment horizontal="center"/>
    </xf>
    <xf numFmtId="43" fontId="16" fillId="0" borderId="45" xfId="1" applyNumberFormat="1" applyFont="1" applyFill="1" applyBorder="1"/>
    <xf numFmtId="43" fontId="16" fillId="0" borderId="46" xfId="1" applyNumberFormat="1" applyFont="1" applyFill="1" applyBorder="1"/>
    <xf numFmtId="43" fontId="16" fillId="0" borderId="47" xfId="1" applyNumberFormat="1" applyFont="1" applyFill="1" applyBorder="1"/>
    <xf numFmtId="43" fontId="16" fillId="0" borderId="48" xfId="1" applyNumberFormat="1" applyFont="1" applyFill="1" applyBorder="1"/>
    <xf numFmtId="43" fontId="16" fillId="0" borderId="49" xfId="1" applyNumberFormat="1" applyFont="1" applyFill="1" applyBorder="1"/>
    <xf numFmtId="1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left"/>
    </xf>
    <xf numFmtId="1" fontId="16" fillId="0" borderId="40" xfId="1" quotePrefix="1" applyNumberFormat="1" applyFont="1" applyFill="1" applyBorder="1" applyAlignment="1">
      <alignment horizontal="left"/>
    </xf>
    <xf numFmtId="43" fontId="16" fillId="0" borderId="34" xfId="1" applyNumberFormat="1" applyFont="1" applyFill="1" applyBorder="1"/>
    <xf numFmtId="43" fontId="16" fillId="0" borderId="50" xfId="1" applyNumberFormat="1" applyFont="1" applyFill="1" applyBorder="1"/>
    <xf numFmtId="43" fontId="16" fillId="0" borderId="43" xfId="1" applyNumberFormat="1" applyFont="1" applyFill="1" applyBorder="1"/>
    <xf numFmtId="43" fontId="16" fillId="0" borderId="18" xfId="1" applyNumberFormat="1" applyFont="1" applyFill="1" applyBorder="1"/>
    <xf numFmtId="1" fontId="16" fillId="0" borderId="42" xfId="1" quotePrefix="1" applyNumberFormat="1" applyFont="1" applyFill="1" applyBorder="1" applyAlignment="1">
      <alignment horizontal="center"/>
    </xf>
    <xf numFmtId="43" fontId="16" fillId="0" borderId="51" xfId="1" applyNumberFormat="1" applyFont="1" applyFill="1" applyBorder="1"/>
    <xf numFmtId="43" fontId="16" fillId="0" borderId="44" xfId="1" applyNumberFormat="1" applyFont="1" applyFill="1" applyBorder="1"/>
    <xf numFmtId="43" fontId="16" fillId="0" borderId="31" xfId="1" applyNumberFormat="1" applyFont="1" applyFill="1" applyBorder="1" applyAlignment="1">
      <alignment horizontal="center"/>
    </xf>
    <xf numFmtId="1" fontId="16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9" fillId="0" borderId="0" xfId="0" applyFont="1" applyAlignment="1">
      <alignment horizontal="left"/>
    </xf>
    <xf numFmtId="0" fontId="17" fillId="0" borderId="0" xfId="0" applyFont="1"/>
    <xf numFmtId="0" fontId="20" fillId="0" borderId="0" xfId="0" applyFont="1" applyFill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1" fillId="0" borderId="1" xfId="0" applyFont="1" applyFill="1" applyBorder="1"/>
    <xf numFmtId="0" fontId="22" fillId="0" borderId="3" xfId="0" applyFont="1" applyFill="1" applyBorder="1"/>
    <xf numFmtId="43" fontId="22" fillId="0" borderId="10" xfId="0" applyNumberFormat="1" applyFont="1" applyFill="1" applyBorder="1"/>
    <xf numFmtId="49" fontId="22" fillId="0" borderId="10" xfId="0" applyNumberFormat="1" applyFont="1" applyFill="1" applyBorder="1" applyAlignment="1">
      <alignment horizontal="center"/>
    </xf>
    <xf numFmtId="0" fontId="23" fillId="0" borderId="0" xfId="0" applyFont="1" applyFill="1"/>
    <xf numFmtId="0" fontId="24" fillId="0" borderId="4" xfId="0" applyFont="1" applyFill="1" applyBorder="1"/>
    <xf numFmtId="0" fontId="25" fillId="0" borderId="5" xfId="0" applyFont="1" applyFill="1" applyBorder="1"/>
    <xf numFmtId="43" fontId="25" fillId="0" borderId="9" xfId="1" applyNumberFormat="1" applyFont="1" applyFill="1" applyBorder="1"/>
    <xf numFmtId="49" fontId="25" fillId="0" borderId="9" xfId="0" applyNumberFormat="1" applyFont="1" applyFill="1" applyBorder="1" applyAlignment="1">
      <alignment horizontal="center"/>
    </xf>
    <xf numFmtId="43" fontId="25" fillId="0" borderId="9" xfId="0" applyNumberFormat="1" applyFont="1" applyFill="1" applyBorder="1"/>
    <xf numFmtId="43" fontId="18" fillId="0" borderId="0" xfId="0" applyNumberFormat="1" applyFont="1" applyFill="1"/>
    <xf numFmtId="0" fontId="20" fillId="0" borderId="4" xfId="0" applyFont="1" applyFill="1" applyBorder="1"/>
    <xf numFmtId="0" fontId="20" fillId="0" borderId="5" xfId="0" applyFont="1" applyFill="1" applyBorder="1"/>
    <xf numFmtId="43" fontId="20" fillId="0" borderId="13" xfId="1" applyNumberFormat="1" applyFont="1" applyFill="1" applyBorder="1"/>
    <xf numFmtId="49" fontId="20" fillId="0" borderId="4" xfId="0" applyNumberFormat="1" applyFont="1" applyFill="1" applyBorder="1" applyAlignment="1">
      <alignment horizontal="center"/>
    </xf>
    <xf numFmtId="43" fontId="25" fillId="0" borderId="13" xfId="0" applyNumberFormat="1" applyFont="1" applyFill="1" applyBorder="1"/>
    <xf numFmtId="49" fontId="20" fillId="0" borderId="13" xfId="0" applyNumberFormat="1" applyFont="1" applyFill="1" applyBorder="1" applyAlignment="1">
      <alignment horizontal="center"/>
    </xf>
    <xf numFmtId="43" fontId="20" fillId="0" borderId="13" xfId="1" applyNumberFormat="1" applyFont="1" applyFill="1" applyBorder="1" applyAlignment="1"/>
    <xf numFmtId="0" fontId="20" fillId="0" borderId="0" xfId="0" applyFont="1" applyFill="1" applyBorder="1"/>
    <xf numFmtId="43" fontId="22" fillId="0" borderId="13" xfId="0" applyNumberFormat="1" applyFont="1" applyFill="1" applyBorder="1"/>
    <xf numFmtId="0" fontId="24" fillId="0" borderId="4" xfId="0" applyFont="1" applyFill="1" applyBorder="1" applyAlignment="1">
      <alignment horizontal="left"/>
    </xf>
    <xf numFmtId="0" fontId="25" fillId="0" borderId="0" xfId="0" applyFont="1" applyFill="1" applyBorder="1"/>
    <xf numFmtId="43" fontId="25" fillId="0" borderId="9" xfId="1" applyNumberFormat="1" applyFont="1" applyFill="1" applyBorder="1" applyAlignment="1"/>
    <xf numFmtId="43" fontId="25" fillId="0" borderId="10" xfId="0" applyNumberFormat="1" applyFont="1" applyFill="1" applyBorder="1"/>
    <xf numFmtId="43" fontId="20" fillId="0" borderId="13" xfId="1" applyNumberFormat="1" applyFont="1" applyFill="1" applyBorder="1" applyAlignment="1">
      <alignment horizontal="center"/>
    </xf>
    <xf numFmtId="0" fontId="21" fillId="0" borderId="4" xfId="0" applyFont="1" applyFill="1" applyBorder="1"/>
    <xf numFmtId="0" fontId="22" fillId="0" borderId="5" xfId="0" applyFont="1" applyFill="1" applyBorder="1"/>
    <xf numFmtId="0" fontId="21" fillId="0" borderId="13" xfId="0" applyFont="1" applyFill="1" applyBorder="1"/>
    <xf numFmtId="0" fontId="26" fillId="0" borderId="0" xfId="0" applyFont="1" applyFill="1"/>
    <xf numFmtId="43" fontId="22" fillId="0" borderId="9" xfId="1" applyNumberFormat="1" applyFont="1" applyFill="1" applyBorder="1"/>
    <xf numFmtId="49" fontId="22" fillId="0" borderId="9" xfId="0" applyNumberFormat="1" applyFont="1" applyFill="1" applyBorder="1" applyAlignment="1">
      <alignment horizontal="center"/>
    </xf>
    <xf numFmtId="43" fontId="25" fillId="0" borderId="14" xfId="0" applyNumberFormat="1" applyFont="1" applyFill="1" applyBorder="1"/>
    <xf numFmtId="43" fontId="22" fillId="0" borderId="9" xfId="1" applyNumberFormat="1" applyFont="1" applyFill="1" applyBorder="1" applyAlignment="1"/>
    <xf numFmtId="0" fontId="21" fillId="0" borderId="18" xfId="0" applyFont="1" applyFill="1" applyBorder="1"/>
    <xf numFmtId="0" fontId="22" fillId="0" borderId="21" xfId="0" applyFont="1" applyFill="1" applyBorder="1"/>
    <xf numFmtId="43" fontId="23" fillId="0" borderId="0" xfId="0" applyNumberFormat="1" applyFont="1" applyFill="1"/>
    <xf numFmtId="0" fontId="21" fillId="0" borderId="0" xfId="0" applyFont="1" applyFill="1" applyBorder="1"/>
    <xf numFmtId="0" fontId="22" fillId="0" borderId="0" xfId="0" applyFont="1" applyFill="1" applyBorder="1"/>
    <xf numFmtId="43" fontId="22" fillId="0" borderId="0" xfId="1" applyNumberFormat="1" applyFont="1" applyFill="1" applyBorder="1" applyAlignment="1"/>
    <xf numFmtId="49" fontId="22" fillId="0" borderId="0" xfId="0" applyNumberFormat="1" applyFont="1" applyFill="1" applyBorder="1" applyAlignment="1">
      <alignment horizontal="center"/>
    </xf>
    <xf numFmtId="43" fontId="22" fillId="0" borderId="0" xfId="1" applyNumberFormat="1" applyFont="1" applyFill="1" applyBorder="1"/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43" fontId="18" fillId="0" borderId="0" xfId="1" applyNumberFormat="1" applyFont="1" applyFill="1"/>
    <xf numFmtId="0" fontId="19" fillId="0" borderId="0" xfId="0" applyFont="1" applyAlignment="1"/>
    <xf numFmtId="0" fontId="17" fillId="0" borderId="0" xfId="0" applyFont="1" applyAlignment="1"/>
    <xf numFmtId="0" fontId="27" fillId="0" borderId="0" xfId="0" applyFont="1"/>
    <xf numFmtId="0" fontId="28" fillId="0" borderId="0" xfId="0" applyFont="1" applyAlignment="1">
      <alignment horizontal="left"/>
    </xf>
    <xf numFmtId="43" fontId="28" fillId="0" borderId="0" xfId="1" applyNumberFormat="1" applyFont="1"/>
    <xf numFmtId="0" fontId="28" fillId="0" borderId="0" xfId="0" applyFont="1"/>
    <xf numFmtId="0" fontId="28" fillId="0" borderId="0" xfId="0" applyFont="1" applyAlignment="1">
      <alignment shrinkToFit="1"/>
    </xf>
    <xf numFmtId="0" fontId="29" fillId="0" borderId="0" xfId="0" applyFont="1" applyAlignment="1">
      <alignment shrinkToFit="1"/>
    </xf>
    <xf numFmtId="0" fontId="28" fillId="0" borderId="1" xfId="0" applyFont="1" applyBorder="1"/>
    <xf numFmtId="0" fontId="28" fillId="0" borderId="3" xfId="0" applyFont="1" applyBorder="1"/>
    <xf numFmtId="49" fontId="28" fillId="0" borderId="9" xfId="0" applyNumberFormat="1" applyFont="1" applyBorder="1" applyAlignment="1">
      <alignment horizontal="center" shrinkToFit="1"/>
    </xf>
    <xf numFmtId="0" fontId="28" fillId="0" borderId="7" xfId="0" applyFont="1" applyBorder="1"/>
    <xf numFmtId="0" fontId="28" fillId="0" borderId="8" xfId="0" applyFont="1" applyBorder="1"/>
    <xf numFmtId="49" fontId="30" fillId="0" borderId="9" xfId="0" applyNumberFormat="1" applyFont="1" applyBorder="1" applyAlignment="1">
      <alignment horizontal="center" shrinkToFit="1"/>
    </xf>
    <xf numFmtId="49" fontId="31" fillId="0" borderId="9" xfId="0" applyNumberFormat="1" applyFont="1" applyBorder="1" applyAlignment="1">
      <alignment horizontal="center" shrinkToFit="1"/>
    </xf>
    <xf numFmtId="49" fontId="32" fillId="0" borderId="9" xfId="0" applyNumberFormat="1" applyFont="1" applyBorder="1" applyAlignment="1">
      <alignment horizontal="center" shrinkToFit="1"/>
    </xf>
    <xf numFmtId="49" fontId="28" fillId="0" borderId="18" xfId="0" applyNumberFormat="1" applyFont="1" applyBorder="1" applyAlignment="1">
      <alignment horizontal="center"/>
    </xf>
    <xf numFmtId="49" fontId="28" fillId="0" borderId="21" xfId="0" applyNumberFormat="1" applyFont="1" applyBorder="1"/>
    <xf numFmtId="43" fontId="28" fillId="0" borderId="9" xfId="1" applyNumberFormat="1" applyFont="1" applyBorder="1" applyAlignment="1">
      <alignment horizontal="center" vertical="center" shrinkToFit="1"/>
    </xf>
    <xf numFmtId="43" fontId="29" fillId="0" borderId="9" xfId="1" applyNumberFormat="1" applyFont="1" applyBorder="1" applyAlignment="1">
      <alignment horizontal="center" vertical="center" shrinkToFit="1"/>
    </xf>
    <xf numFmtId="49" fontId="28" fillId="0" borderId="18" xfId="0" applyNumberFormat="1" applyFont="1" applyBorder="1"/>
    <xf numFmtId="49" fontId="33" fillId="0" borderId="18" xfId="0" applyNumberFormat="1" applyFont="1" applyBorder="1"/>
    <xf numFmtId="49" fontId="33" fillId="0" borderId="21" xfId="0" applyNumberFormat="1" applyFont="1" applyBorder="1" applyAlignment="1">
      <alignment horizontal="right"/>
    </xf>
    <xf numFmtId="43" fontId="33" fillId="0" borderId="9" xfId="1" applyNumberFormat="1" applyFont="1" applyBorder="1" applyAlignment="1">
      <alignment horizontal="center" vertical="center" shrinkToFit="1"/>
    </xf>
    <xf numFmtId="43" fontId="34" fillId="0" borderId="9" xfId="1" applyNumberFormat="1" applyFont="1" applyBorder="1" applyAlignment="1">
      <alignment horizontal="center" vertical="center" shrinkToFit="1"/>
    </xf>
    <xf numFmtId="0" fontId="33" fillId="0" borderId="0" xfId="0" applyFont="1" applyAlignment="1">
      <alignment horizontal="left"/>
    </xf>
    <xf numFmtId="43" fontId="33" fillId="0" borderId="0" xfId="1" applyNumberFormat="1" applyFont="1"/>
    <xf numFmtId="0" fontId="33" fillId="0" borderId="0" xfId="0" applyFont="1"/>
    <xf numFmtId="49" fontId="33" fillId="0" borderId="17" xfId="0" applyNumberFormat="1" applyFont="1" applyBorder="1"/>
    <xf numFmtId="49" fontId="33" fillId="0" borderId="22" xfId="0" applyNumberFormat="1" applyFont="1" applyBorder="1" applyAlignment="1">
      <alignment horizontal="right"/>
    </xf>
    <xf numFmtId="43" fontId="33" fillId="0" borderId="19" xfId="1" applyNumberFormat="1" applyFont="1" applyBorder="1" applyAlignment="1">
      <alignment horizontal="center" vertical="center" shrinkToFit="1"/>
    </xf>
    <xf numFmtId="43" fontId="34" fillId="0" borderId="19" xfId="1" applyNumberFormat="1" applyFont="1" applyBorder="1" applyAlignment="1">
      <alignment horizontal="center" vertical="center" shrinkToFit="1"/>
    </xf>
    <xf numFmtId="43" fontId="33" fillId="0" borderId="0" xfId="0" applyNumberFormat="1" applyFont="1"/>
    <xf numFmtId="49" fontId="28" fillId="0" borderId="7" xfId="0" applyNumberFormat="1" applyFont="1" applyBorder="1" applyAlignment="1">
      <alignment horizontal="center"/>
    </xf>
    <xf numFmtId="49" fontId="28" fillId="0" borderId="8" xfId="0" applyNumberFormat="1" applyFont="1" applyBorder="1"/>
    <xf numFmtId="43" fontId="28" fillId="0" borderId="14" xfId="1" applyNumberFormat="1" applyFont="1" applyBorder="1" applyAlignment="1">
      <alignment horizontal="center" vertical="center" shrinkToFit="1"/>
    </xf>
    <xf numFmtId="43" fontId="29" fillId="0" borderId="14" xfId="1" applyNumberFormat="1" applyFont="1" applyBorder="1" applyAlignment="1">
      <alignment horizontal="center" vertical="center" shrinkToFit="1"/>
    </xf>
    <xf numFmtId="43" fontId="28" fillId="0" borderId="0" xfId="1" applyNumberFormat="1" applyFont="1" applyBorder="1"/>
    <xf numFmtId="49" fontId="28" fillId="0" borderId="23" xfId="0" applyNumberFormat="1" applyFont="1" applyBorder="1"/>
    <xf numFmtId="49" fontId="28" fillId="0" borderId="25" xfId="0" applyNumberFormat="1" applyFont="1" applyBorder="1"/>
    <xf numFmtId="43" fontId="28" fillId="0" borderId="52" xfId="1" applyNumberFormat="1" applyFont="1" applyBorder="1" applyAlignment="1">
      <alignment horizontal="center" vertical="center" shrinkToFit="1"/>
    </xf>
    <xf numFmtId="43" fontId="29" fillId="0" borderId="52" xfId="1" applyNumberFormat="1" applyFont="1" applyBorder="1" applyAlignment="1">
      <alignment horizontal="center" vertical="center" shrinkToFit="1"/>
    </xf>
    <xf numFmtId="49" fontId="28" fillId="0" borderId="7" xfId="0" applyNumberFormat="1" applyFont="1" applyBorder="1"/>
    <xf numFmtId="49" fontId="28" fillId="0" borderId="7" xfId="0" applyNumberFormat="1" applyFont="1" applyFill="1" applyBorder="1" applyAlignment="1">
      <alignment horizontal="center"/>
    </xf>
    <xf numFmtId="49" fontId="28" fillId="0" borderId="8" xfId="0" applyNumberFormat="1" applyFont="1" applyFill="1" applyBorder="1"/>
    <xf numFmtId="43" fontId="28" fillId="0" borderId="14" xfId="1" applyNumberFormat="1" applyFont="1" applyFill="1" applyBorder="1" applyAlignment="1">
      <alignment horizontal="center" vertical="center" shrinkToFit="1"/>
    </xf>
    <xf numFmtId="0" fontId="28" fillId="2" borderId="0" xfId="0" applyFont="1" applyFill="1" applyAlignment="1">
      <alignment horizontal="left"/>
    </xf>
    <xf numFmtId="43" fontId="28" fillId="2" borderId="0" xfId="1" applyNumberFormat="1" applyFont="1" applyFill="1"/>
    <xf numFmtId="0" fontId="28" fillId="2" borderId="0" xfId="0" applyFont="1" applyFill="1"/>
    <xf numFmtId="49" fontId="28" fillId="0" borderId="18" xfId="0" applyNumberFormat="1" applyFont="1" applyFill="1" applyBorder="1"/>
    <xf numFmtId="49" fontId="28" fillId="0" borderId="21" xfId="0" applyNumberFormat="1" applyFont="1" applyFill="1" applyBorder="1"/>
    <xf numFmtId="43" fontId="28" fillId="0" borderId="9" xfId="1" applyNumberFormat="1" applyFont="1" applyFill="1" applyBorder="1" applyAlignment="1">
      <alignment horizontal="center" vertical="center" shrinkToFit="1"/>
    </xf>
    <xf numFmtId="49" fontId="33" fillId="0" borderId="18" xfId="0" applyNumberFormat="1" applyFont="1" applyFill="1" applyBorder="1"/>
    <xf numFmtId="49" fontId="33" fillId="0" borderId="21" xfId="0" applyNumberFormat="1" applyFont="1" applyFill="1" applyBorder="1" applyAlignment="1">
      <alignment horizontal="right"/>
    </xf>
    <xf numFmtId="43" fontId="33" fillId="0" borderId="9" xfId="1" applyNumberFormat="1" applyFont="1" applyFill="1" applyBorder="1" applyAlignment="1">
      <alignment horizontal="center" vertical="center" shrinkToFit="1"/>
    </xf>
    <xf numFmtId="0" fontId="33" fillId="2" borderId="0" xfId="0" applyFont="1" applyFill="1" applyAlignment="1">
      <alignment horizontal="left"/>
    </xf>
    <xf numFmtId="43" fontId="33" fillId="2" borderId="0" xfId="1" applyNumberFormat="1" applyFont="1" applyFill="1"/>
    <xf numFmtId="0" fontId="33" fillId="2" borderId="0" xfId="0" applyFont="1" applyFill="1"/>
    <xf numFmtId="49" fontId="33" fillId="0" borderId="17" xfId="0" applyNumberFormat="1" applyFont="1" applyFill="1" applyBorder="1"/>
    <xf numFmtId="49" fontId="33" fillId="0" borderId="22" xfId="0" applyNumberFormat="1" applyFont="1" applyFill="1" applyBorder="1" applyAlignment="1">
      <alignment horizontal="right"/>
    </xf>
    <xf numFmtId="43" fontId="33" fillId="0" borderId="19" xfId="1" applyNumberFormat="1" applyFont="1" applyFill="1" applyBorder="1" applyAlignment="1">
      <alignment horizontal="center" vertical="center" shrinkToFit="1"/>
    </xf>
    <xf numFmtId="43" fontId="33" fillId="2" borderId="0" xfId="0" applyNumberFormat="1" applyFont="1" applyFill="1" applyAlignment="1">
      <alignment horizontal="left"/>
    </xf>
    <xf numFmtId="43" fontId="29" fillId="0" borderId="14" xfId="1" applyNumberFormat="1" applyFont="1" applyFill="1" applyBorder="1" applyAlignment="1">
      <alignment horizontal="center" vertical="center" shrinkToFit="1"/>
    </xf>
    <xf numFmtId="43" fontId="35" fillId="0" borderId="14" xfId="1" applyNumberFormat="1" applyFont="1" applyFill="1" applyBorder="1" applyAlignment="1">
      <alignment horizontal="center" vertical="center" shrinkToFit="1"/>
    </xf>
    <xf numFmtId="43" fontId="29" fillId="0" borderId="9" xfId="1" applyNumberFormat="1" applyFont="1" applyFill="1" applyBorder="1" applyAlignment="1">
      <alignment horizontal="center" vertical="center" shrinkToFit="1"/>
    </xf>
    <xf numFmtId="43" fontId="28" fillId="0" borderId="0" xfId="0" applyNumberFormat="1" applyFont="1"/>
    <xf numFmtId="49" fontId="30" fillId="0" borderId="18" xfId="0" applyNumberFormat="1" applyFont="1" applyFill="1" applyBorder="1"/>
    <xf numFmtId="49" fontId="30" fillId="0" borderId="21" xfId="0" applyNumberFormat="1" applyFont="1" applyFill="1" applyBorder="1" applyAlignment="1">
      <alignment horizontal="right"/>
    </xf>
    <xf numFmtId="43" fontId="30" fillId="0" borderId="9" xfId="1" applyNumberFormat="1" applyFont="1" applyFill="1" applyBorder="1" applyAlignment="1">
      <alignment horizontal="center" vertical="center" shrinkToFit="1"/>
    </xf>
    <xf numFmtId="43" fontId="36" fillId="0" borderId="9" xfId="1" applyNumberFormat="1" applyFont="1" applyFill="1" applyBorder="1" applyAlignment="1">
      <alignment horizontal="center" vertical="center" shrinkToFit="1"/>
    </xf>
    <xf numFmtId="0" fontId="30" fillId="0" borderId="0" xfId="0" applyFont="1" applyAlignment="1">
      <alignment horizontal="left"/>
    </xf>
    <xf numFmtId="43" fontId="30" fillId="0" borderId="0" xfId="1" applyNumberFormat="1" applyFont="1"/>
    <xf numFmtId="0" fontId="30" fillId="0" borderId="0" xfId="0" applyFont="1"/>
    <xf numFmtId="49" fontId="30" fillId="0" borderId="17" xfId="0" applyNumberFormat="1" applyFont="1" applyFill="1" applyBorder="1"/>
    <xf numFmtId="49" fontId="30" fillId="0" borderId="22" xfId="0" applyNumberFormat="1" applyFont="1" applyFill="1" applyBorder="1" applyAlignment="1">
      <alignment horizontal="right"/>
    </xf>
    <xf numFmtId="43" fontId="30" fillId="0" borderId="19" xfId="1" applyNumberFormat="1" applyFont="1" applyFill="1" applyBorder="1" applyAlignment="1">
      <alignment horizontal="center" vertical="center" shrinkToFit="1"/>
    </xf>
    <xf numFmtId="43" fontId="36" fillId="0" borderId="19" xfId="1" applyNumberFormat="1" applyFont="1" applyFill="1" applyBorder="1" applyAlignment="1">
      <alignment horizontal="center" vertical="center" shrinkToFit="1"/>
    </xf>
    <xf numFmtId="43" fontId="30" fillId="0" borderId="0" xfId="0" applyNumberFormat="1" applyFont="1"/>
    <xf numFmtId="0" fontId="28" fillId="0" borderId="0" xfId="0" applyFont="1" applyFill="1" applyAlignment="1">
      <alignment horizontal="left"/>
    </xf>
    <xf numFmtId="43" fontId="28" fillId="0" borderId="0" xfId="1" applyNumberFormat="1" applyFont="1" applyFill="1" applyBorder="1"/>
    <xf numFmtId="0" fontId="28" fillId="0" borderId="0" xfId="0" applyFont="1" applyFill="1"/>
    <xf numFmtId="43" fontId="28" fillId="0" borderId="0" xfId="1" applyNumberFormat="1" applyFont="1" applyFill="1"/>
    <xf numFmtId="43" fontId="34" fillId="0" borderId="9" xfId="1" applyNumberFormat="1" applyFont="1" applyFill="1" applyBorder="1" applyAlignment="1">
      <alignment horizontal="center" vertical="center" shrinkToFit="1"/>
    </xf>
    <xf numFmtId="0" fontId="33" fillId="0" borderId="0" xfId="0" applyFont="1" applyFill="1" applyAlignment="1">
      <alignment horizontal="left"/>
    </xf>
    <xf numFmtId="43" fontId="33" fillId="0" borderId="0" xfId="1" applyNumberFormat="1" applyFont="1" applyFill="1"/>
    <xf numFmtId="0" fontId="33" fillId="0" borderId="0" xfId="0" applyFont="1" applyFill="1"/>
    <xf numFmtId="43" fontId="34" fillId="0" borderId="19" xfId="1" applyNumberFormat="1" applyFont="1" applyFill="1" applyBorder="1" applyAlignment="1">
      <alignment horizontal="center" vertical="center" shrinkToFit="1"/>
    </xf>
    <xf numFmtId="43" fontId="33" fillId="0" borderId="0" xfId="0" applyNumberFormat="1" applyFont="1" applyFill="1"/>
    <xf numFmtId="43" fontId="28" fillId="0" borderId="53" xfId="1" applyNumberFormat="1" applyFont="1" applyFill="1" applyBorder="1"/>
    <xf numFmtId="43" fontId="36" fillId="0" borderId="56" xfId="0" applyNumberFormat="1" applyFont="1" applyBorder="1" applyAlignment="1">
      <alignment shrinkToFit="1"/>
    </xf>
    <xf numFmtId="0" fontId="29" fillId="0" borderId="0" xfId="0" applyFont="1" applyAlignment="1">
      <alignment horizontal="left"/>
    </xf>
    <xf numFmtId="43" fontId="29" fillId="0" borderId="0" xfId="1" applyNumberFormat="1" applyFont="1"/>
    <xf numFmtId="0" fontId="36" fillId="0" borderId="0" xfId="0" applyFont="1"/>
    <xf numFmtId="0" fontId="28" fillId="0" borderId="0" xfId="0" applyFont="1" applyAlignment="1"/>
    <xf numFmtId="43" fontId="28" fillId="0" borderId="0" xfId="1" applyNumberFormat="1" applyFont="1" applyAlignment="1">
      <alignment shrinkToFit="1"/>
    </xf>
    <xf numFmtId="43" fontId="29" fillId="0" borderId="11" xfId="1" applyNumberFormat="1" applyFont="1" applyBorder="1" applyAlignment="1">
      <alignment shrinkToFit="1"/>
    </xf>
    <xf numFmtId="43" fontId="29" fillId="0" borderId="0" xfId="1" applyNumberFormat="1" applyFont="1" applyBorder="1" applyAlignment="1">
      <alignment shrinkToFit="1"/>
    </xf>
    <xf numFmtId="0" fontId="37" fillId="0" borderId="0" xfId="0" applyFont="1" applyAlignment="1"/>
    <xf numFmtId="43" fontId="29" fillId="0" borderId="6" xfId="1" applyNumberFormat="1" applyFont="1" applyBorder="1" applyAlignment="1">
      <alignment shrinkToFit="1"/>
    </xf>
    <xf numFmtId="0" fontId="38" fillId="0" borderId="0" xfId="0" applyFont="1" applyBorder="1" applyAlignment="1"/>
    <xf numFmtId="0" fontId="39" fillId="0" borderId="0" xfId="0" applyFont="1" applyBorder="1" applyAlignment="1"/>
    <xf numFmtId="0" fontId="28" fillId="0" borderId="0" xfId="0" applyFont="1" applyBorder="1" applyAlignment="1"/>
    <xf numFmtId="0" fontId="28" fillId="0" borderId="0" xfId="0" applyFont="1" applyBorder="1" applyAlignment="1">
      <alignment shrinkToFit="1"/>
    </xf>
    <xf numFmtId="43" fontId="29" fillId="0" borderId="2" xfId="1" applyNumberFormat="1" applyFont="1" applyBorder="1" applyAlignment="1">
      <alignment shrinkToFit="1"/>
    </xf>
    <xf numFmtId="0" fontId="28" fillId="0" borderId="0" xfId="0" applyFont="1" applyBorder="1" applyAlignment="1">
      <alignment horizontal="left"/>
    </xf>
    <xf numFmtId="43" fontId="29" fillId="0" borderId="0" xfId="0" applyNumberFormat="1" applyFont="1" applyBorder="1" applyAlignment="1">
      <alignment shrinkToFit="1"/>
    </xf>
    <xf numFmtId="0" fontId="20" fillId="0" borderId="7" xfId="0" applyFont="1" applyFill="1" applyBorder="1"/>
    <xf numFmtId="0" fontId="20" fillId="0" borderId="8" xfId="0" applyFont="1" applyFill="1" applyBorder="1"/>
    <xf numFmtId="43" fontId="20" fillId="0" borderId="14" xfId="1" applyNumberFormat="1" applyFont="1" applyFill="1" applyBorder="1" applyAlignment="1"/>
    <xf numFmtId="43" fontId="20" fillId="0" borderId="14" xfId="1" applyNumberFormat="1" applyFont="1" applyFill="1" applyBorder="1" applyAlignment="1">
      <alignment horizontal="center"/>
    </xf>
    <xf numFmtId="49" fontId="20" fillId="0" borderId="7" xfId="0" applyNumberFormat="1" applyFont="1" applyFill="1" applyBorder="1" applyAlignment="1">
      <alignment horizontal="center"/>
    </xf>
    <xf numFmtId="43" fontId="22" fillId="0" borderId="9" xfId="1" applyNumberFormat="1" applyFont="1" applyFill="1" applyBorder="1" applyAlignment="1">
      <alignment horizontal="center"/>
    </xf>
    <xf numFmtId="49" fontId="28" fillId="0" borderId="9" xfId="0" applyNumberFormat="1" applyFont="1" applyBorder="1" applyAlignment="1">
      <alignment horizontal="center"/>
    </xf>
    <xf numFmtId="49" fontId="28" fillId="0" borderId="37" xfId="0" applyNumberFormat="1" applyFont="1" applyBorder="1" applyAlignment="1">
      <alignment horizontal="center"/>
    </xf>
    <xf numFmtId="49" fontId="28" fillId="0" borderId="14" xfId="0" applyNumberFormat="1" applyFont="1" applyBorder="1" applyAlignment="1">
      <alignment horizontal="center"/>
    </xf>
    <xf numFmtId="49" fontId="28" fillId="0" borderId="9" xfId="0" applyNumberFormat="1" applyFont="1" applyFill="1" applyBorder="1" applyAlignment="1">
      <alignment horizontal="center"/>
    </xf>
    <xf numFmtId="49" fontId="28" fillId="0" borderId="37" xfId="0" applyNumberFormat="1" applyFont="1" applyFill="1" applyBorder="1" applyAlignment="1">
      <alignment horizontal="center"/>
    </xf>
    <xf numFmtId="49" fontId="28" fillId="0" borderId="14" xfId="0" applyNumberFormat="1" applyFont="1" applyFill="1" applyBorder="1" applyAlignment="1">
      <alignment horizontal="center"/>
    </xf>
    <xf numFmtId="49" fontId="28" fillId="0" borderId="57" xfId="0" applyNumberFormat="1" applyFont="1" applyFill="1" applyBorder="1" applyAlignment="1">
      <alignment horizontal="center"/>
    </xf>
    <xf numFmtId="1" fontId="16" fillId="0" borderId="57" xfId="1" applyNumberFormat="1" applyFont="1" applyFill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49" fontId="28" fillId="0" borderId="57" xfId="0" applyNumberFormat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1" fontId="16" fillId="0" borderId="31" xfId="1" applyNumberFormat="1" applyFont="1" applyFill="1" applyBorder="1" applyAlignment="1">
      <alignment horizontal="center"/>
    </xf>
    <xf numFmtId="1" fontId="16" fillId="0" borderId="37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left"/>
    </xf>
    <xf numFmtId="1" fontId="16" fillId="0" borderId="9" xfId="1" applyNumberFormat="1" applyFont="1" applyFill="1" applyBorder="1" applyAlignment="1">
      <alignment horizontal="left"/>
    </xf>
    <xf numFmtId="1" fontId="16" fillId="0" borderId="14" xfId="1" applyNumberFormat="1" applyFont="1" applyFill="1" applyBorder="1"/>
    <xf numFmtId="1" fontId="16" fillId="0" borderId="14" xfId="1" applyNumberFormat="1" applyFont="1" applyFill="1" applyBorder="1" applyAlignment="1">
      <alignment horizontal="center"/>
    </xf>
    <xf numFmtId="1" fontId="16" fillId="0" borderId="31" xfId="1" applyNumberFormat="1" applyFont="1" applyFill="1" applyBorder="1" applyAlignment="1">
      <alignment horizontal="left"/>
    </xf>
    <xf numFmtId="1" fontId="16" fillId="0" borderId="9" xfId="1" quotePrefix="1" applyNumberFormat="1" applyFont="1" applyFill="1" applyBorder="1" applyAlignment="1">
      <alignment horizontal="left"/>
    </xf>
    <xf numFmtId="1" fontId="16" fillId="0" borderId="10" xfId="1" applyNumberFormat="1" applyFont="1" applyFill="1" applyBorder="1" applyAlignment="1">
      <alignment horizontal="center"/>
    </xf>
    <xf numFmtId="1" fontId="16" fillId="0" borderId="9" xfId="1" quotePrefix="1" applyNumberFormat="1" applyFont="1" applyFill="1" applyBorder="1" applyAlignment="1">
      <alignment horizontal="center"/>
    </xf>
    <xf numFmtId="1" fontId="16" fillId="0" borderId="31" xfId="1" applyNumberFormat="1" applyFont="1" applyFill="1" applyBorder="1"/>
    <xf numFmtId="188" fontId="2" fillId="0" borderId="0" xfId="1" applyNumberFormat="1" applyFont="1" applyFill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20" fillId="0" borderId="13" xfId="0" applyFont="1" applyFill="1" applyBorder="1"/>
    <xf numFmtId="49" fontId="20" fillId="0" borderId="14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53" fillId="0" borderId="13" xfId="0" applyFont="1" applyBorder="1"/>
    <xf numFmtId="0" fontId="14" fillId="0" borderId="4" xfId="0" applyFont="1" applyBorder="1"/>
    <xf numFmtId="0" fontId="53" fillId="0" borderId="4" xfId="0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0" fontId="53" fillId="0" borderId="0" xfId="0" applyFont="1" applyFill="1" applyAlignment="1">
      <alignment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43" fontId="2" fillId="0" borderId="13" xfId="1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43" fontId="2" fillId="0" borderId="13" xfId="1" applyNumberFormat="1" applyFont="1" applyFill="1" applyBorder="1"/>
    <xf numFmtId="0" fontId="2" fillId="0" borderId="13" xfId="0" applyFont="1" applyFill="1" applyBorder="1" applyAlignment="1">
      <alignment horizontal="center"/>
    </xf>
    <xf numFmtId="43" fontId="12" fillId="0" borderId="0" xfId="0" applyNumberFormat="1" applyFont="1"/>
    <xf numFmtId="0" fontId="2" fillId="0" borderId="13" xfId="0" applyFont="1" applyFill="1" applyBorder="1" applyAlignment="1">
      <alignment horizontal="left"/>
    </xf>
    <xf numFmtId="43" fontId="2" fillId="0" borderId="19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43" fontId="2" fillId="0" borderId="13" xfId="0" applyNumberFormat="1" applyFont="1" applyBorder="1" applyAlignment="1">
      <alignment horizontal="center" vertical="center" wrapText="1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26" xfId="2" applyNumberFormat="1" applyFont="1" applyBorder="1" applyAlignment="1">
      <alignment horizontal="center" vertical="center"/>
    </xf>
    <xf numFmtId="43" fontId="2" fillId="0" borderId="27" xfId="2" applyNumberFormat="1" applyFont="1" applyBorder="1" applyAlignment="1">
      <alignment horizontal="center" vertical="center"/>
    </xf>
    <xf numFmtId="0" fontId="2" fillId="0" borderId="7" xfId="4" applyFont="1" applyBorder="1" applyAlignment="1">
      <alignment horizontal="left" vertical="center"/>
    </xf>
    <xf numFmtId="0" fontId="2" fillId="0" borderId="6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187" fontId="2" fillId="0" borderId="1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18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0" fontId="2" fillId="0" borderId="1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0" fontId="2" fillId="0" borderId="9" xfId="4" applyFont="1" applyBorder="1" applyAlignment="1">
      <alignment horizontal="left" vertical="center"/>
    </xf>
    <xf numFmtId="43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43" fontId="2" fillId="0" borderId="4" xfId="2" applyNumberFormat="1" applyFont="1" applyBorder="1" applyAlignment="1">
      <alignment horizontal="center" vertical="center"/>
    </xf>
    <xf numFmtId="43" fontId="2" fillId="0" borderId="5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3" fontId="14" fillId="0" borderId="29" xfId="1" applyNumberFormat="1" applyFont="1" applyFill="1" applyBorder="1" applyAlignment="1">
      <alignment horizontal="center"/>
    </xf>
    <xf numFmtId="43" fontId="14" fillId="0" borderId="0" xfId="1" applyNumberFormat="1" applyFont="1" applyFill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2" xfId="1" applyNumberFormat="1" applyFont="1" applyFill="1" applyBorder="1" applyAlignment="1">
      <alignment horizontal="center"/>
    </xf>
    <xf numFmtId="43" fontId="16" fillId="0" borderId="33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43" fontId="16" fillId="0" borderId="35" xfId="1" applyNumberFormat="1" applyFont="1" applyFill="1" applyBorder="1" applyAlignment="1">
      <alignment horizontal="center" vertical="center"/>
    </xf>
    <xf numFmtId="43" fontId="16" fillId="0" borderId="38" xfId="1" applyNumberFormat="1" applyFont="1" applyFill="1" applyBorder="1" applyAlignment="1">
      <alignment horizontal="center" vertical="center"/>
    </xf>
    <xf numFmtId="43" fontId="14" fillId="0" borderId="0" xfId="1" applyNumberFormat="1" applyFont="1" applyFill="1" applyBorder="1" applyAlignment="1">
      <alignment horizontal="center"/>
    </xf>
    <xf numFmtId="43" fontId="16" fillId="0" borderId="43" xfId="1" applyNumberFormat="1" applyFont="1" applyFill="1" applyBorder="1" applyAlignment="1">
      <alignment horizontal="center" vertical="center"/>
    </xf>
    <xf numFmtId="43" fontId="16" fillId="0" borderId="44" xfId="1" applyNumberFormat="1" applyFont="1" applyFill="1" applyBorder="1" applyAlignment="1">
      <alignment horizontal="center" vertical="center"/>
    </xf>
    <xf numFmtId="49" fontId="28" fillId="0" borderId="18" xfId="0" applyNumberFormat="1" applyFont="1" applyBorder="1" applyAlignment="1">
      <alignment horizontal="center" shrinkToFit="1"/>
    </xf>
    <xf numFmtId="49" fontId="28" fillId="0" borderId="21" xfId="0" applyNumberFormat="1" applyFont="1" applyBorder="1" applyAlignment="1">
      <alignment horizontal="center" shrinkToFit="1"/>
    </xf>
    <xf numFmtId="49" fontId="28" fillId="0" borderId="20" xfId="0" applyNumberFormat="1" applyFont="1" applyBorder="1" applyAlignment="1">
      <alignment horizontal="center" shrinkToFit="1"/>
    </xf>
    <xf numFmtId="0" fontId="29" fillId="0" borderId="10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36" fillId="0" borderId="54" xfId="0" applyFont="1" applyBorder="1" applyAlignment="1">
      <alignment horizontal="center" shrinkToFit="1"/>
    </xf>
    <xf numFmtId="0" fontId="36" fillId="0" borderId="55" xfId="0" applyFont="1" applyBorder="1" applyAlignment="1">
      <alignment horizontal="center" shrinkToFit="1"/>
    </xf>
    <xf numFmtId="0" fontId="28" fillId="0" borderId="0" xfId="0" applyFont="1" applyAlignment="1">
      <alignment horizontal="center"/>
    </xf>
  </cellXfs>
  <cellStyles count="6">
    <cellStyle name="เครื่องหมายจุลภาค" xfId="1" builtinId="3"/>
    <cellStyle name="เครื่องหมายจุลภาค_Sheet1" xfId="2"/>
    <cellStyle name="เครื่องหมายจุลภาค_Sheet1_กระทบยอดธนาคาร" xfId="3"/>
    <cellStyle name="ปกติ" xfId="0" builtinId="0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78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78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79</xdr:row>
      <xdr:rowOff>0</xdr:rowOff>
    </xdr:from>
    <xdr:to>
      <xdr:col>5</xdr:col>
      <xdr:colOff>685800</xdr:colOff>
      <xdr:row>79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81</xdr:row>
      <xdr:rowOff>6351</xdr:rowOff>
    </xdr:from>
    <xdr:to>
      <xdr:col>1</xdr:col>
      <xdr:colOff>260350</xdr:colOff>
      <xdr:row>81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81</xdr:row>
      <xdr:rowOff>14289</xdr:rowOff>
    </xdr:from>
    <xdr:to>
      <xdr:col>7</xdr:col>
      <xdr:colOff>571496</xdr:colOff>
      <xdr:row>81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80</xdr:row>
      <xdr:rowOff>190500</xdr:rowOff>
    </xdr:from>
    <xdr:to>
      <xdr:col>5</xdr:col>
      <xdr:colOff>649287</xdr:colOff>
      <xdr:row>80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83</xdr:row>
      <xdr:rowOff>168276</xdr:rowOff>
    </xdr:from>
    <xdr:to>
      <xdr:col>1</xdr:col>
      <xdr:colOff>241300</xdr:colOff>
      <xdr:row>83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83</xdr:row>
      <xdr:rowOff>176214</xdr:rowOff>
    </xdr:from>
    <xdr:to>
      <xdr:col>7</xdr:col>
      <xdr:colOff>552446</xdr:colOff>
      <xdr:row>83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83</xdr:row>
      <xdr:rowOff>152400</xdr:rowOff>
    </xdr:from>
    <xdr:to>
      <xdr:col>5</xdr:col>
      <xdr:colOff>630237</xdr:colOff>
      <xdr:row>83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45</xdr:row>
      <xdr:rowOff>96852</xdr:rowOff>
    </xdr:from>
    <xdr:to>
      <xdr:col>2</xdr:col>
      <xdr:colOff>82554</xdr:colOff>
      <xdr:row>45</xdr:row>
      <xdr:rowOff>96852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125555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123825</xdr:colOff>
      <xdr:row>45</xdr:row>
      <xdr:rowOff>95265</xdr:rowOff>
    </xdr:from>
    <xdr:to>
      <xdr:col>9</xdr:col>
      <xdr:colOff>800100</xdr:colOff>
      <xdr:row>45</xdr:row>
      <xdr:rowOff>95265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000625" y="12277740"/>
          <a:ext cx="20383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247653</xdr:colOff>
      <xdr:row>45</xdr:row>
      <xdr:rowOff>87327</xdr:rowOff>
    </xdr:from>
    <xdr:to>
      <xdr:col>5</xdr:col>
      <xdr:colOff>447678</xdr:colOff>
      <xdr:row>45</xdr:row>
      <xdr:rowOff>87327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076453" y="12546027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43</xdr:row>
      <xdr:rowOff>7955</xdr:rowOff>
    </xdr:from>
    <xdr:to>
      <xdr:col>2</xdr:col>
      <xdr:colOff>58742</xdr:colOff>
      <xdr:row>43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43</xdr:row>
      <xdr:rowOff>15893</xdr:rowOff>
    </xdr:from>
    <xdr:to>
      <xdr:col>9</xdr:col>
      <xdr:colOff>404813</xdr:colOff>
      <xdr:row>43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176216</xdr:colOff>
      <xdr:row>42</xdr:row>
      <xdr:rowOff>314341</xdr:rowOff>
    </xdr:from>
    <xdr:to>
      <xdr:col>5</xdr:col>
      <xdr:colOff>376241</xdr:colOff>
      <xdr:row>42</xdr:row>
      <xdr:rowOff>314341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05016" y="11887216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4"/>
  <sheetViews>
    <sheetView topLeftCell="A83" workbookViewId="0">
      <selection activeCell="F91" sqref="F91"/>
    </sheetView>
  </sheetViews>
  <sheetFormatPr defaultColWidth="9.109375" defaultRowHeight="19.5" customHeight="1"/>
  <cols>
    <col min="1" max="1" width="16.44140625" style="73" customWidth="1"/>
    <col min="2" max="2" width="4.44140625" style="83" customWidth="1"/>
    <col min="3" max="3" width="13.6640625" style="32" customWidth="1"/>
    <col min="4" max="4" width="3" style="32" customWidth="1"/>
    <col min="5" max="5" width="6.44140625" style="32" customWidth="1"/>
    <col min="6" max="6" width="28.6640625" style="32" customWidth="1"/>
    <col min="7" max="7" width="8.33203125" style="49" customWidth="1"/>
    <col min="8" max="8" width="11.33203125" style="32" customWidth="1"/>
    <col min="9" max="9" width="3" style="32" customWidth="1"/>
    <col min="10" max="10" width="14.33203125" style="32" customWidth="1"/>
    <col min="11" max="12" width="13.5546875" style="32" bestFit="1" customWidth="1"/>
    <col min="13" max="13" width="12.44140625" style="32" bestFit="1" customWidth="1"/>
    <col min="14" max="16384" width="9.109375" style="32"/>
  </cols>
  <sheetData>
    <row r="2" spans="1:12" ht="23.1" customHeight="1">
      <c r="A2" s="450" t="s">
        <v>82</v>
      </c>
      <c r="B2" s="450"/>
      <c r="C2" s="450"/>
      <c r="D2" s="450"/>
      <c r="E2" s="450"/>
      <c r="F2" s="450"/>
      <c r="G2" s="450"/>
      <c r="H2" s="450"/>
      <c r="I2" s="450"/>
    </row>
    <row r="3" spans="1:12" ht="23.1" customHeight="1">
      <c r="A3" s="450" t="s">
        <v>81</v>
      </c>
      <c r="B3" s="450"/>
      <c r="C3" s="450"/>
      <c r="D3" s="450"/>
      <c r="E3" s="450"/>
      <c r="F3" s="450"/>
      <c r="G3" s="450"/>
      <c r="H3" s="450"/>
      <c r="I3" s="450"/>
    </row>
    <row r="4" spans="1:12" ht="23.1" customHeight="1">
      <c r="A4" s="451" t="s">
        <v>391</v>
      </c>
      <c r="B4" s="451"/>
      <c r="C4" s="451"/>
      <c r="D4" s="451"/>
      <c r="E4" s="451"/>
      <c r="F4" s="451"/>
      <c r="G4" s="451"/>
      <c r="H4" s="451"/>
      <c r="I4" s="451"/>
    </row>
    <row r="5" spans="1:12" ht="23.1" customHeight="1">
      <c r="A5" s="450" t="s">
        <v>80</v>
      </c>
      <c r="B5" s="450"/>
      <c r="C5" s="450"/>
      <c r="D5" s="450"/>
      <c r="E5" s="450"/>
      <c r="F5" s="450"/>
      <c r="G5" s="450"/>
      <c r="H5" s="450"/>
      <c r="I5" s="450"/>
    </row>
    <row r="6" spans="1:12" ht="23.1" customHeight="1" thickBot="1">
      <c r="A6" s="452" t="s">
        <v>420</v>
      </c>
      <c r="B6" s="452"/>
      <c r="C6" s="452"/>
      <c r="D6" s="452"/>
      <c r="E6" s="452"/>
      <c r="F6" s="452"/>
      <c r="G6" s="452"/>
      <c r="H6" s="452"/>
      <c r="I6" s="452"/>
    </row>
    <row r="7" spans="1:12" ht="20.399999999999999" thickTop="1">
      <c r="A7" s="453" t="s">
        <v>72</v>
      </c>
      <c r="B7" s="454"/>
      <c r="C7" s="454"/>
      <c r="D7" s="455"/>
      <c r="E7" s="456" t="s">
        <v>71</v>
      </c>
      <c r="F7" s="457"/>
      <c r="G7" s="460" t="s">
        <v>2</v>
      </c>
      <c r="H7" s="462" t="s">
        <v>70</v>
      </c>
      <c r="I7" s="463"/>
    </row>
    <row r="8" spans="1:12" ht="19.8">
      <c r="A8" s="464" t="s">
        <v>69</v>
      </c>
      <c r="B8" s="465"/>
      <c r="C8" s="33" t="s">
        <v>68</v>
      </c>
      <c r="D8" s="33"/>
      <c r="E8" s="415"/>
      <c r="F8" s="416"/>
      <c r="G8" s="420"/>
      <c r="H8" s="406" t="s">
        <v>68</v>
      </c>
      <c r="I8" s="407"/>
    </row>
    <row r="9" spans="1:12" ht="20.399999999999999" thickBot="1">
      <c r="A9" s="444" t="s">
        <v>26</v>
      </c>
      <c r="B9" s="445"/>
      <c r="C9" s="34" t="s">
        <v>26</v>
      </c>
      <c r="D9" s="34"/>
      <c r="E9" s="458"/>
      <c r="F9" s="459"/>
      <c r="G9" s="461"/>
      <c r="H9" s="446" t="s">
        <v>26</v>
      </c>
      <c r="I9" s="447"/>
    </row>
    <row r="10" spans="1:12" ht="24" customHeight="1" thickTop="1">
      <c r="A10" s="67"/>
      <c r="B10" s="74"/>
      <c r="C10" s="440">
        <v>23198377.32</v>
      </c>
      <c r="D10" s="441"/>
      <c r="E10" s="448" t="s">
        <v>55</v>
      </c>
      <c r="F10" s="449"/>
      <c r="G10" s="35"/>
      <c r="H10" s="403">
        <v>37460259.229999997</v>
      </c>
      <c r="I10" s="404"/>
    </row>
    <row r="11" spans="1:12" ht="24.9" customHeight="1">
      <c r="A11" s="67"/>
      <c r="B11" s="75"/>
      <c r="C11" s="33"/>
      <c r="D11" s="36"/>
      <c r="E11" s="442" t="s">
        <v>79</v>
      </c>
      <c r="F11" s="443"/>
      <c r="G11" s="37"/>
      <c r="H11" s="403"/>
      <c r="I11" s="404"/>
    </row>
    <row r="12" spans="1:12" ht="24.9" customHeight="1">
      <c r="A12" s="67">
        <v>217000</v>
      </c>
      <c r="B12" s="37" t="s">
        <v>5</v>
      </c>
      <c r="C12" s="403">
        <f>2274.84+2320.23+71.2+24370.51+38284.36+41647.74+45494.63</f>
        <v>154463.51</v>
      </c>
      <c r="D12" s="404"/>
      <c r="E12" s="432" t="s">
        <v>126</v>
      </c>
      <c r="F12" s="433"/>
      <c r="G12" s="37" t="s">
        <v>113</v>
      </c>
      <c r="H12" s="403">
        <f>1894+40860.63+2740</f>
        <v>45494.63</v>
      </c>
      <c r="I12" s="404"/>
      <c r="J12" s="39"/>
      <c r="K12" s="39"/>
      <c r="L12" s="84"/>
    </row>
    <row r="13" spans="1:12" ht="24.9" customHeight="1">
      <c r="A13" s="67">
        <v>51200</v>
      </c>
      <c r="B13" s="37" t="s">
        <v>5</v>
      </c>
      <c r="C13" s="403">
        <f>120+1096+50+170+1850</f>
        <v>3286</v>
      </c>
      <c r="D13" s="404"/>
      <c r="E13" s="432" t="s">
        <v>125</v>
      </c>
      <c r="F13" s="433"/>
      <c r="G13" s="37" t="s">
        <v>114</v>
      </c>
      <c r="H13" s="403">
        <f>1800+50</f>
        <v>1850</v>
      </c>
      <c r="I13" s="404"/>
      <c r="J13" s="39"/>
      <c r="K13" s="39"/>
    </row>
    <row r="14" spans="1:12" ht="24.9" customHeight="1">
      <c r="A14" s="67">
        <v>160000</v>
      </c>
      <c r="B14" s="37" t="s">
        <v>5</v>
      </c>
      <c r="C14" s="403">
        <f>18843.08+8352.82+21688.98+25791.27</f>
        <v>74676.150000000009</v>
      </c>
      <c r="D14" s="404"/>
      <c r="E14" s="432" t="s">
        <v>124</v>
      </c>
      <c r="F14" s="433"/>
      <c r="G14" s="37" t="s">
        <v>115</v>
      </c>
      <c r="H14" s="403">
        <v>0</v>
      </c>
      <c r="I14" s="404"/>
      <c r="J14" s="39"/>
      <c r="K14" s="39"/>
    </row>
    <row r="15" spans="1:12" ht="24.9" customHeight="1">
      <c r="A15" s="67">
        <v>600000</v>
      </c>
      <c r="B15" s="37" t="s">
        <v>5</v>
      </c>
      <c r="C15" s="403">
        <f>48630+48855+66955+44025+53890+53620+46565</f>
        <v>362540</v>
      </c>
      <c r="D15" s="404"/>
      <c r="E15" s="432" t="s">
        <v>123</v>
      </c>
      <c r="F15" s="433"/>
      <c r="G15" s="37" t="s">
        <v>116</v>
      </c>
      <c r="H15" s="403">
        <v>46565</v>
      </c>
      <c r="I15" s="404"/>
      <c r="J15" s="39"/>
      <c r="K15" s="39"/>
    </row>
    <row r="16" spans="1:12" ht="24.9" customHeight="1">
      <c r="A16" s="67">
        <v>80000</v>
      </c>
      <c r="B16" s="37" t="s">
        <v>5</v>
      </c>
      <c r="C16" s="403">
        <f>3288+2450+23500+25400</f>
        <v>54638</v>
      </c>
      <c r="D16" s="404"/>
      <c r="E16" s="432" t="s">
        <v>122</v>
      </c>
      <c r="F16" s="433"/>
      <c r="G16" s="37" t="s">
        <v>117</v>
      </c>
      <c r="H16" s="403">
        <f>20500+4900</f>
        <v>25400</v>
      </c>
      <c r="I16" s="404"/>
      <c r="J16" s="39"/>
      <c r="K16" s="39"/>
    </row>
    <row r="17" spans="1:11" ht="24.9" customHeight="1">
      <c r="A17" s="67">
        <v>13102500</v>
      </c>
      <c r="B17" s="37" t="s">
        <v>5</v>
      </c>
      <c r="C17" s="403">
        <f>1194421.42+1291122.84+1916565.74+558227.62+2199801.41+19990+2195403.92</f>
        <v>9375532.9499999993</v>
      </c>
      <c r="D17" s="404"/>
      <c r="E17" s="432" t="s">
        <v>121</v>
      </c>
      <c r="F17" s="433"/>
      <c r="G17" s="37" t="s">
        <v>118</v>
      </c>
      <c r="H17" s="403">
        <f>349832.79+1400161.78+34512.14+145298.15+207533.26+38.8+58027</f>
        <v>2195403.92</v>
      </c>
      <c r="I17" s="404"/>
      <c r="J17" s="39"/>
      <c r="K17" s="39"/>
    </row>
    <row r="18" spans="1:11" ht="24.9" customHeight="1">
      <c r="A18" s="67">
        <v>12000000</v>
      </c>
      <c r="B18" s="37" t="s">
        <v>5</v>
      </c>
      <c r="C18" s="401">
        <f>10804861+1756800</f>
        <v>12561661</v>
      </c>
      <c r="D18" s="402"/>
      <c r="E18" s="432" t="s">
        <v>120</v>
      </c>
      <c r="F18" s="433"/>
      <c r="G18" s="37" t="s">
        <v>119</v>
      </c>
      <c r="H18" s="401">
        <v>0</v>
      </c>
      <c r="I18" s="402"/>
      <c r="J18" s="39"/>
      <c r="K18" s="39"/>
    </row>
    <row r="19" spans="1:11" ht="24" customHeight="1" thickBot="1">
      <c r="A19" s="68">
        <f>SUM(A12:A18)</f>
        <v>26210700</v>
      </c>
      <c r="B19" s="76" t="s">
        <v>5</v>
      </c>
      <c r="C19" s="396">
        <f>SUM(C12:C18)</f>
        <v>22586797.609999999</v>
      </c>
      <c r="D19" s="397"/>
      <c r="E19" s="432"/>
      <c r="F19" s="433"/>
      <c r="G19" s="37"/>
      <c r="H19" s="396">
        <f>SUM(H12:H18)</f>
        <v>2314713.5499999998</v>
      </c>
      <c r="I19" s="397"/>
      <c r="J19" s="39"/>
      <c r="K19" s="39"/>
    </row>
    <row r="20" spans="1:11" ht="24" hidden="1" customHeight="1">
      <c r="A20" s="69"/>
      <c r="B20" s="77"/>
      <c r="C20" s="440">
        <v>0</v>
      </c>
      <c r="D20" s="441"/>
      <c r="E20" s="432" t="s">
        <v>78</v>
      </c>
      <c r="F20" s="433"/>
      <c r="G20" s="37" t="s">
        <v>77</v>
      </c>
      <c r="H20" s="403" t="s">
        <v>5</v>
      </c>
      <c r="I20" s="404"/>
      <c r="J20" s="39"/>
      <c r="K20" s="39"/>
    </row>
    <row r="21" spans="1:11" ht="24.9" customHeight="1" thickTop="1">
      <c r="A21" s="69"/>
      <c r="B21" s="78"/>
      <c r="C21" s="403">
        <f>3382200+864900+3052200+121250</f>
        <v>7420550</v>
      </c>
      <c r="D21" s="404"/>
      <c r="E21" s="432" t="s">
        <v>165</v>
      </c>
      <c r="F21" s="433"/>
      <c r="G21" s="37" t="s">
        <v>127</v>
      </c>
      <c r="H21" s="403">
        <f>28830+16170+2250+61324+12676</f>
        <v>121250</v>
      </c>
      <c r="I21" s="404"/>
      <c r="J21" s="39"/>
      <c r="K21" s="39"/>
    </row>
    <row r="22" spans="1:11" ht="19.8" hidden="1">
      <c r="A22" s="69"/>
      <c r="B22" s="78"/>
      <c r="C22" s="403"/>
      <c r="D22" s="404"/>
      <c r="E22" s="52" t="s">
        <v>156</v>
      </c>
      <c r="F22" s="53"/>
      <c r="G22" s="37"/>
      <c r="H22" s="403"/>
      <c r="I22" s="404"/>
      <c r="J22" s="39"/>
      <c r="K22" s="39"/>
    </row>
    <row r="23" spans="1:11" ht="19.8">
      <c r="A23" s="69"/>
      <c r="B23" s="78"/>
      <c r="C23" s="403">
        <f>13452.95+6760.42+7120.9+4126.64+1657.18+12559.95+4718.32</f>
        <v>50396.360000000008</v>
      </c>
      <c r="D23" s="404"/>
      <c r="E23" s="432" t="s">
        <v>65</v>
      </c>
      <c r="F23" s="433"/>
      <c r="G23" s="37" t="s">
        <v>141</v>
      </c>
      <c r="H23" s="403">
        <f>'หมายเหตุ 2'!D12</f>
        <v>4718.32</v>
      </c>
      <c r="I23" s="404"/>
      <c r="J23" s="39"/>
      <c r="K23" s="39"/>
    </row>
    <row r="24" spans="1:11" ht="19.8">
      <c r="A24" s="69"/>
      <c r="B24" s="78"/>
      <c r="C24" s="403">
        <f>858.85+1965.12+56.96+8096.33+1504.99+2759+1124.07</f>
        <v>16365.32</v>
      </c>
      <c r="D24" s="404"/>
      <c r="E24" s="363" t="s">
        <v>392</v>
      </c>
      <c r="F24" s="361"/>
      <c r="G24" s="37" t="s">
        <v>394</v>
      </c>
      <c r="H24" s="403">
        <v>1124.07</v>
      </c>
      <c r="I24" s="404"/>
      <c r="J24" s="39"/>
      <c r="K24" s="39"/>
    </row>
    <row r="25" spans="1:11" ht="24.9" customHeight="1">
      <c r="A25" s="85"/>
      <c r="B25" s="78"/>
      <c r="C25" s="403">
        <f>21000</f>
        <v>21000</v>
      </c>
      <c r="D25" s="404"/>
      <c r="E25" s="363" t="s">
        <v>396</v>
      </c>
      <c r="F25" s="77"/>
      <c r="G25" s="37" t="s">
        <v>395</v>
      </c>
      <c r="H25" s="403">
        <v>0</v>
      </c>
      <c r="I25" s="404"/>
      <c r="J25" s="39"/>
      <c r="K25" s="39"/>
    </row>
    <row r="26" spans="1:11" ht="19.8" hidden="1">
      <c r="A26" s="85"/>
      <c r="B26" s="78"/>
      <c r="C26" s="403"/>
      <c r="D26" s="404"/>
      <c r="E26" s="432"/>
      <c r="F26" s="433"/>
      <c r="G26" s="37"/>
      <c r="H26" s="403"/>
      <c r="I26" s="404"/>
      <c r="J26" s="39">
        <f>C26+H26</f>
        <v>0</v>
      </c>
      <c r="K26" s="39" t="e">
        <v>#VALUE!</v>
      </c>
    </row>
    <row r="27" spans="1:11" ht="19.8">
      <c r="A27" s="85"/>
      <c r="B27" s="78"/>
      <c r="C27" s="403">
        <f>4390+6895+2790+1085+75</f>
        <v>15235</v>
      </c>
      <c r="D27" s="404"/>
      <c r="E27" s="363" t="s">
        <v>397</v>
      </c>
      <c r="F27" s="77"/>
      <c r="G27" s="37" t="s">
        <v>398</v>
      </c>
      <c r="H27" s="403">
        <v>0</v>
      </c>
      <c r="I27" s="404"/>
      <c r="J27" s="39"/>
      <c r="K27" s="39"/>
    </row>
    <row r="28" spans="1:11" ht="19.8">
      <c r="A28" s="85"/>
      <c r="B28" s="78"/>
      <c r="C28" s="403">
        <f>130065.07+450+0.01</f>
        <v>130515.08</v>
      </c>
      <c r="D28" s="404"/>
      <c r="E28" s="365" t="s">
        <v>14</v>
      </c>
      <c r="F28" s="361"/>
      <c r="G28" s="37" t="s">
        <v>399</v>
      </c>
      <c r="H28" s="403">
        <v>0.01</v>
      </c>
      <c r="I28" s="404"/>
      <c r="J28" s="39"/>
      <c r="K28" s="39"/>
    </row>
    <row r="29" spans="1:11" ht="23.4">
      <c r="A29" s="85"/>
      <c r="B29" s="78"/>
      <c r="C29" s="403">
        <v>2000</v>
      </c>
      <c r="D29" s="404"/>
      <c r="E29" s="364" t="s">
        <v>405</v>
      </c>
      <c r="F29" s="77"/>
      <c r="G29" s="37"/>
      <c r="H29" s="403">
        <v>0</v>
      </c>
      <c r="I29" s="404"/>
      <c r="J29" s="39"/>
      <c r="K29" s="39"/>
    </row>
    <row r="30" spans="1:11" ht="19.8">
      <c r="A30" s="85"/>
      <c r="B30" s="78"/>
      <c r="C30" s="403">
        <f>1177400+532650+105000</f>
        <v>1815050</v>
      </c>
      <c r="D30" s="404"/>
      <c r="E30" s="368" t="s">
        <v>159</v>
      </c>
      <c r="F30" s="77"/>
      <c r="G30" s="37" t="s">
        <v>169</v>
      </c>
      <c r="H30" s="403">
        <v>105000</v>
      </c>
      <c r="I30" s="404"/>
      <c r="J30" s="39"/>
      <c r="K30" s="39"/>
    </row>
    <row r="31" spans="1:11" ht="19.8">
      <c r="A31" s="85"/>
      <c r="B31" s="78"/>
      <c r="C31" s="403">
        <f>11400</f>
        <v>11400</v>
      </c>
      <c r="D31" s="404"/>
      <c r="E31" s="368" t="s">
        <v>189</v>
      </c>
      <c r="F31" s="53"/>
      <c r="G31" s="37" t="s">
        <v>128</v>
      </c>
      <c r="H31" s="403">
        <v>0</v>
      </c>
      <c r="I31" s="404"/>
      <c r="J31" s="39"/>
      <c r="K31" s="39"/>
    </row>
    <row r="32" spans="1:11" ht="19.8">
      <c r="A32" s="85"/>
      <c r="B32" s="78"/>
      <c r="C32" s="403">
        <f>7291+7291+7291</f>
        <v>21873</v>
      </c>
      <c r="D32" s="404"/>
      <c r="E32" s="373" t="s">
        <v>412</v>
      </c>
      <c r="F32" s="360"/>
      <c r="G32" s="37"/>
      <c r="H32" s="403">
        <v>7291</v>
      </c>
      <c r="I32" s="404"/>
      <c r="J32" s="39"/>
      <c r="K32" s="39"/>
    </row>
    <row r="33" spans="1:12" ht="67.5" customHeight="1">
      <c r="A33" s="85"/>
      <c r="B33" s="78"/>
      <c r="C33" s="403"/>
      <c r="D33" s="404"/>
      <c r="E33" s="52"/>
      <c r="F33" s="53"/>
      <c r="G33" s="37"/>
      <c r="H33" s="403"/>
      <c r="I33" s="404"/>
      <c r="J33" s="39"/>
      <c r="K33" s="39"/>
    </row>
    <row r="34" spans="1:12" ht="19.8">
      <c r="A34" s="85"/>
      <c r="B34" s="78"/>
      <c r="C34" s="369"/>
      <c r="D34" s="370"/>
      <c r="E34" s="371"/>
      <c r="F34" s="372"/>
      <c r="G34" s="37"/>
      <c r="H34" s="369"/>
      <c r="I34" s="370"/>
      <c r="J34" s="39"/>
      <c r="K34" s="39"/>
    </row>
    <row r="35" spans="1:12" ht="19.8">
      <c r="A35" s="85"/>
      <c r="B35" s="78"/>
      <c r="C35" s="50"/>
      <c r="D35" s="51"/>
      <c r="E35" s="52"/>
      <c r="F35" s="53"/>
      <c r="G35" s="37"/>
      <c r="H35" s="50"/>
      <c r="I35" s="51"/>
      <c r="J35" s="39"/>
      <c r="K35" s="39"/>
    </row>
    <row r="36" spans="1:12" ht="19.8">
      <c r="A36" s="85"/>
      <c r="B36" s="78"/>
      <c r="C36" s="50"/>
      <c r="D36" s="51"/>
      <c r="E36" s="52"/>
      <c r="F36" s="53"/>
      <c r="G36" s="37"/>
      <c r="H36" s="50"/>
      <c r="I36" s="51"/>
      <c r="J36" s="39"/>
      <c r="K36" s="39"/>
    </row>
    <row r="37" spans="1:12" ht="24.9" hidden="1" customHeight="1">
      <c r="A37" s="69"/>
      <c r="B37" s="78"/>
      <c r="C37" s="403"/>
      <c r="D37" s="404"/>
      <c r="E37" s="432" t="s">
        <v>74</v>
      </c>
      <c r="F37" s="433"/>
      <c r="G37" s="37" t="s">
        <v>128</v>
      </c>
      <c r="H37" s="403"/>
      <c r="I37" s="404"/>
      <c r="J37" s="39">
        <f t="shared" ref="J37:J42" si="0">C37+H37</f>
        <v>0</v>
      </c>
      <c r="K37" s="39" t="e">
        <v>#VALUE!</v>
      </c>
      <c r="L37" s="32">
        <v>123028</v>
      </c>
    </row>
    <row r="38" spans="1:12" s="62" customFormat="1" ht="24.9" hidden="1" customHeight="1">
      <c r="A38" s="69"/>
      <c r="B38" s="78"/>
      <c r="C38" s="403"/>
      <c r="D38" s="404"/>
      <c r="E38" s="432" t="s">
        <v>75</v>
      </c>
      <c r="F38" s="433"/>
      <c r="G38" s="60">
        <v>110607</v>
      </c>
      <c r="H38" s="403"/>
      <c r="I38" s="404"/>
      <c r="J38" s="61">
        <f t="shared" si="0"/>
        <v>0</v>
      </c>
      <c r="K38" s="61" t="e">
        <v>#VALUE!</v>
      </c>
      <c r="L38" s="62">
        <v>6560</v>
      </c>
    </row>
    <row r="39" spans="1:12" ht="24.9" hidden="1" customHeight="1">
      <c r="A39" s="69"/>
      <c r="B39" s="78"/>
      <c r="C39" s="403"/>
      <c r="D39" s="404"/>
      <c r="E39" s="432" t="s">
        <v>14</v>
      </c>
      <c r="F39" s="433"/>
      <c r="G39" s="37" t="s">
        <v>155</v>
      </c>
      <c r="H39" s="438"/>
      <c r="I39" s="439"/>
      <c r="J39" s="39">
        <f t="shared" si="0"/>
        <v>0</v>
      </c>
      <c r="K39" s="39" t="e">
        <v>#VALUE!</v>
      </c>
      <c r="L39" s="32">
        <f>SUM(L37:L38)</f>
        <v>129588</v>
      </c>
    </row>
    <row r="40" spans="1:12" ht="24.9" hidden="1" customHeight="1">
      <c r="A40" s="69"/>
      <c r="B40" s="78"/>
      <c r="C40" s="403"/>
      <c r="D40" s="404"/>
      <c r="E40" s="52" t="s">
        <v>157</v>
      </c>
      <c r="F40" s="53"/>
      <c r="G40" s="37" t="s">
        <v>134</v>
      </c>
      <c r="H40" s="403"/>
      <c r="I40" s="404"/>
      <c r="J40" s="39">
        <f t="shared" si="0"/>
        <v>0</v>
      </c>
      <c r="K40" s="39"/>
    </row>
    <row r="41" spans="1:12" ht="24" hidden="1" customHeight="1">
      <c r="A41" s="69"/>
      <c r="B41" s="78"/>
      <c r="C41" s="403"/>
      <c r="D41" s="404"/>
      <c r="E41" s="52" t="s">
        <v>162</v>
      </c>
      <c r="F41" s="53"/>
      <c r="G41" s="37"/>
      <c r="H41" s="403"/>
      <c r="I41" s="404"/>
      <c r="J41" s="39">
        <f t="shared" si="0"/>
        <v>0</v>
      </c>
      <c r="K41" s="39"/>
    </row>
    <row r="42" spans="1:12" ht="24" hidden="1" customHeight="1">
      <c r="A42" s="69"/>
      <c r="B42" s="78"/>
      <c r="C42" s="403"/>
      <c r="D42" s="404"/>
      <c r="E42" s="52" t="s">
        <v>163</v>
      </c>
      <c r="F42" s="53"/>
      <c r="G42" s="37"/>
      <c r="H42" s="403"/>
      <c r="I42" s="404"/>
      <c r="J42" s="39">
        <f t="shared" si="0"/>
        <v>0</v>
      </c>
      <c r="K42" s="39"/>
    </row>
    <row r="43" spans="1:12" ht="24" customHeight="1">
      <c r="A43" s="69"/>
      <c r="B43" s="78"/>
      <c r="C43" s="430">
        <f>SUM(C21:C42)</f>
        <v>9504384.7600000016</v>
      </c>
      <c r="D43" s="431"/>
      <c r="E43" s="432"/>
      <c r="F43" s="433"/>
      <c r="G43" s="37"/>
      <c r="H43" s="430">
        <f>SUM(H21:H42)</f>
        <v>239383.40000000002</v>
      </c>
      <c r="I43" s="431"/>
      <c r="J43" s="39"/>
      <c r="K43" s="39"/>
    </row>
    <row r="44" spans="1:12" s="55" customFormat="1" ht="24" customHeight="1">
      <c r="A44" s="70"/>
      <c r="B44" s="80"/>
      <c r="C44" s="434">
        <f>C19+C43</f>
        <v>32091182.370000001</v>
      </c>
      <c r="D44" s="435"/>
      <c r="E44" s="436" t="s">
        <v>73</v>
      </c>
      <c r="F44" s="437"/>
      <c r="G44" s="86"/>
      <c r="H44" s="434">
        <f>H19+H43</f>
        <v>2554096.9499999997</v>
      </c>
      <c r="I44" s="435"/>
      <c r="J44" s="54"/>
      <c r="K44" s="54"/>
    </row>
    <row r="45" spans="1:12" ht="17.100000000000001" customHeight="1">
      <c r="A45" s="410" t="s">
        <v>72</v>
      </c>
      <c r="B45" s="411"/>
      <c r="C45" s="411"/>
      <c r="D45" s="412"/>
      <c r="E45" s="413" t="s">
        <v>71</v>
      </c>
      <c r="F45" s="414"/>
      <c r="G45" s="419" t="s">
        <v>2</v>
      </c>
      <c r="H45" s="422" t="s">
        <v>70</v>
      </c>
      <c r="I45" s="423"/>
    </row>
    <row r="46" spans="1:12" ht="17.100000000000001" customHeight="1">
      <c r="A46" s="424" t="s">
        <v>69</v>
      </c>
      <c r="B46" s="425"/>
      <c r="C46" s="406" t="s">
        <v>68</v>
      </c>
      <c r="D46" s="407"/>
      <c r="E46" s="415"/>
      <c r="F46" s="416"/>
      <c r="G46" s="420"/>
      <c r="H46" s="426" t="s">
        <v>68</v>
      </c>
      <c r="I46" s="427"/>
    </row>
    <row r="47" spans="1:12" ht="17.100000000000001" customHeight="1">
      <c r="A47" s="428" t="s">
        <v>26</v>
      </c>
      <c r="B47" s="429"/>
      <c r="C47" s="398" t="s">
        <v>26</v>
      </c>
      <c r="D47" s="399"/>
      <c r="E47" s="417"/>
      <c r="F47" s="418"/>
      <c r="G47" s="421"/>
      <c r="H47" s="398" t="s">
        <v>26</v>
      </c>
      <c r="I47" s="399"/>
    </row>
    <row r="48" spans="1:12" ht="17.100000000000001" customHeight="1">
      <c r="A48" s="67"/>
      <c r="B48" s="75"/>
      <c r="C48" s="41"/>
      <c r="D48" s="36"/>
      <c r="E48" s="42" t="s">
        <v>67</v>
      </c>
      <c r="F48" s="36"/>
      <c r="G48" s="37"/>
      <c r="H48" s="403"/>
      <c r="I48" s="404"/>
    </row>
    <row r="49" spans="1:13" ht="23.1" customHeight="1">
      <c r="A49" s="67">
        <v>1354110</v>
      </c>
      <c r="B49" s="37" t="s">
        <v>5</v>
      </c>
      <c r="C49" s="403">
        <f>79864+156971+19475.7+110041+10041+10041</f>
        <v>386433.7</v>
      </c>
      <c r="D49" s="404"/>
      <c r="E49" s="42"/>
      <c r="F49" s="36" t="s">
        <v>6</v>
      </c>
      <c r="G49" s="37" t="s">
        <v>129</v>
      </c>
      <c r="H49" s="403">
        <v>10041</v>
      </c>
      <c r="I49" s="404"/>
      <c r="J49" s="39"/>
      <c r="K49" s="39"/>
    </row>
    <row r="50" spans="1:13" ht="23.1" customHeight="1">
      <c r="A50" s="67">
        <v>2052720</v>
      </c>
      <c r="B50" s="37" t="s">
        <v>5</v>
      </c>
      <c r="C50" s="403">
        <f>171060+171060+171060+171060+171060+171060+171060</f>
        <v>1197420</v>
      </c>
      <c r="D50" s="404"/>
      <c r="E50" s="44"/>
      <c r="F50" s="36" t="s">
        <v>130</v>
      </c>
      <c r="G50" s="37" t="s">
        <v>132</v>
      </c>
      <c r="H50" s="403">
        <v>171060</v>
      </c>
      <c r="I50" s="404"/>
      <c r="J50" s="39"/>
      <c r="K50" s="39"/>
      <c r="L50" s="403"/>
      <c r="M50" s="404"/>
    </row>
    <row r="51" spans="1:13" ht="23.1" customHeight="1">
      <c r="A51" s="67">
        <v>4122760</v>
      </c>
      <c r="B51" s="37" t="s">
        <v>5</v>
      </c>
      <c r="C51" s="403">
        <f>272220+272300+272260+553030+296792+283020+300600</f>
        <v>2250222</v>
      </c>
      <c r="D51" s="404"/>
      <c r="E51" s="44"/>
      <c r="F51" s="36" t="s">
        <v>131</v>
      </c>
      <c r="G51" s="37" t="s">
        <v>133</v>
      </c>
      <c r="H51" s="403">
        <v>300600</v>
      </c>
      <c r="I51" s="404"/>
      <c r="J51" s="39"/>
      <c r="K51" s="39"/>
    </row>
    <row r="52" spans="1:13" ht="23.1" customHeight="1">
      <c r="A52" s="67">
        <v>1072840</v>
      </c>
      <c r="B52" s="37" t="s">
        <v>5</v>
      </c>
      <c r="C52" s="403">
        <f>100800+100800+100800+100800+100800+100800+100800</f>
        <v>705600</v>
      </c>
      <c r="D52" s="404"/>
      <c r="E52" s="44"/>
      <c r="F52" s="36" t="s">
        <v>188</v>
      </c>
      <c r="G52" s="37" t="s">
        <v>133</v>
      </c>
      <c r="H52" s="403">
        <v>100800</v>
      </c>
      <c r="I52" s="404"/>
      <c r="J52" s="39"/>
      <c r="K52" s="39"/>
    </row>
    <row r="53" spans="1:13" ht="23.1" customHeight="1">
      <c r="A53" s="67">
        <v>1138500</v>
      </c>
      <c r="B53" s="37" t="s">
        <v>5</v>
      </c>
      <c r="C53" s="403">
        <f>8337+29216+15582+34370+87300+6300+5800</f>
        <v>186905</v>
      </c>
      <c r="D53" s="404"/>
      <c r="E53" s="44"/>
      <c r="F53" s="36" t="s">
        <v>7</v>
      </c>
      <c r="G53" s="37" t="s">
        <v>134</v>
      </c>
      <c r="H53" s="403">
        <v>5800</v>
      </c>
      <c r="I53" s="404"/>
      <c r="J53" s="39"/>
      <c r="K53" s="39"/>
    </row>
    <row r="54" spans="1:13" ht="23.1" customHeight="1">
      <c r="A54" s="67">
        <v>4350000</v>
      </c>
      <c r="B54" s="37" t="s">
        <v>5</v>
      </c>
      <c r="C54" s="403">
        <f>10000+141899+44982+565516+93427.78+122748+139131.65</f>
        <v>1117704.43</v>
      </c>
      <c r="D54" s="404"/>
      <c r="E54" s="44"/>
      <c r="F54" s="36" t="s">
        <v>8</v>
      </c>
      <c r="G54" s="37" t="s">
        <v>135</v>
      </c>
      <c r="H54" s="403">
        <f>134631.65+4500</f>
        <v>139131.65</v>
      </c>
      <c r="I54" s="404"/>
      <c r="J54" s="39"/>
      <c r="K54" s="39"/>
    </row>
    <row r="55" spans="1:13" ht="23.1" customHeight="1">
      <c r="A55" s="67">
        <v>3013160</v>
      </c>
      <c r="B55" s="37" t="s">
        <v>5</v>
      </c>
      <c r="C55" s="403">
        <f>13630+10260+48824+821788.8+136299</f>
        <v>1030801.8</v>
      </c>
      <c r="D55" s="404"/>
      <c r="E55" s="44"/>
      <c r="F55" s="36" t="s">
        <v>9</v>
      </c>
      <c r="G55" s="37" t="s">
        <v>136</v>
      </c>
      <c r="H55" s="403">
        <f>140799-4500</f>
        <v>136299</v>
      </c>
      <c r="I55" s="404"/>
      <c r="J55" s="39"/>
      <c r="K55" s="39"/>
      <c r="L55" s="40"/>
    </row>
    <row r="56" spans="1:13" ht="23.1" customHeight="1">
      <c r="A56" s="87">
        <v>800000</v>
      </c>
      <c r="B56" s="37" t="s">
        <v>5</v>
      </c>
      <c r="C56" s="403">
        <f>67006.31+68657.95+66849.25+66250.44-1315+65990.16+67860.25+100824.52</f>
        <v>502123.88</v>
      </c>
      <c r="D56" s="404"/>
      <c r="E56" s="44"/>
      <c r="F56" s="36" t="s">
        <v>10</v>
      </c>
      <c r="G56" s="37" t="s">
        <v>137</v>
      </c>
      <c r="H56" s="403">
        <v>100824.52</v>
      </c>
      <c r="I56" s="404"/>
      <c r="J56" s="39"/>
      <c r="K56" s="39"/>
    </row>
    <row r="57" spans="1:13" ht="23.1" customHeight="1">
      <c r="A57" s="87">
        <v>980950</v>
      </c>
      <c r="B57" s="37" t="s">
        <v>5</v>
      </c>
      <c r="C57" s="403">
        <f>49080.1+18300+55900</f>
        <v>123280.1</v>
      </c>
      <c r="D57" s="404"/>
      <c r="E57" s="44"/>
      <c r="F57" s="36" t="s">
        <v>12</v>
      </c>
      <c r="G57" s="37" t="s">
        <v>138</v>
      </c>
      <c r="H57" s="403">
        <v>0</v>
      </c>
      <c r="I57" s="404"/>
      <c r="J57" s="39"/>
      <c r="K57" s="39"/>
    </row>
    <row r="58" spans="1:13" ht="23.1" customHeight="1">
      <c r="A58" s="87">
        <v>4493660</v>
      </c>
      <c r="B58" s="37" t="s">
        <v>5</v>
      </c>
      <c r="C58" s="403">
        <f>84000+35000+260800</f>
        <v>379800</v>
      </c>
      <c r="D58" s="404"/>
      <c r="E58" s="44"/>
      <c r="F58" s="36" t="s">
        <v>56</v>
      </c>
      <c r="G58" s="37" t="s">
        <v>139</v>
      </c>
      <c r="H58" s="403">
        <v>0</v>
      </c>
      <c r="I58" s="404"/>
      <c r="J58" s="39"/>
      <c r="K58" s="39"/>
    </row>
    <row r="59" spans="1:13" ht="23.1" customHeight="1">
      <c r="A59" s="87">
        <v>25000</v>
      </c>
      <c r="B59" s="37" t="s">
        <v>5</v>
      </c>
      <c r="C59" s="403">
        <v>0</v>
      </c>
      <c r="D59" s="404"/>
      <c r="E59" s="44"/>
      <c r="F59" s="45" t="s">
        <v>66</v>
      </c>
      <c r="G59" s="37" t="s">
        <v>140</v>
      </c>
      <c r="H59" s="403">
        <v>0</v>
      </c>
      <c r="I59" s="404"/>
      <c r="J59" s="39"/>
      <c r="K59" s="39"/>
    </row>
    <row r="60" spans="1:13" ht="23.1" customHeight="1">
      <c r="A60" s="87">
        <v>2807000</v>
      </c>
      <c r="B60" s="37" t="s">
        <v>5</v>
      </c>
      <c r="C60" s="403">
        <f>1316000+70000</f>
        <v>1386000</v>
      </c>
      <c r="D60" s="404"/>
      <c r="E60" s="44"/>
      <c r="F60" s="36" t="s">
        <v>11</v>
      </c>
      <c r="G60" s="38">
        <v>561000</v>
      </c>
      <c r="H60" s="403">
        <v>0</v>
      </c>
      <c r="I60" s="404"/>
      <c r="J60" s="39"/>
      <c r="K60" s="39"/>
      <c r="L60" s="40"/>
    </row>
    <row r="61" spans="1:13" ht="18.899999999999999" customHeight="1">
      <c r="A61" s="88">
        <f>SUM(A49:A60)</f>
        <v>26210700</v>
      </c>
      <c r="B61" s="63" t="s">
        <v>5</v>
      </c>
      <c r="C61" s="408">
        <f>SUM(C49:C60)</f>
        <v>9266290.9100000001</v>
      </c>
      <c r="D61" s="409"/>
      <c r="E61" s="44"/>
      <c r="F61" s="45"/>
      <c r="G61" s="37"/>
      <c r="H61" s="408">
        <f>SUM(H49:H60)</f>
        <v>964556.17</v>
      </c>
      <c r="I61" s="409"/>
      <c r="J61" s="43"/>
      <c r="K61" s="39"/>
    </row>
    <row r="62" spans="1:13" ht="21" customHeight="1">
      <c r="A62" s="69"/>
      <c r="B62" s="79"/>
      <c r="C62" s="403">
        <f>1691100+557900+1108650+559450+659850</f>
        <v>4576950</v>
      </c>
      <c r="D62" s="404"/>
      <c r="E62" s="44"/>
      <c r="F62" s="36" t="s">
        <v>76</v>
      </c>
      <c r="G62" s="37" t="s">
        <v>127</v>
      </c>
      <c r="H62" s="403">
        <f>497600+55000+2250+105000</f>
        <v>659850</v>
      </c>
      <c r="I62" s="404"/>
      <c r="J62" s="43"/>
      <c r="K62" s="39"/>
    </row>
    <row r="63" spans="1:13" ht="23.1" customHeight="1">
      <c r="A63" s="69"/>
      <c r="B63" s="79"/>
      <c r="C63" s="403">
        <f>23058.24+42300+7480.77+16369.01+14422.22+46591.53+17276.69</f>
        <v>167498.46000000002</v>
      </c>
      <c r="D63" s="404"/>
      <c r="E63" s="44"/>
      <c r="F63" s="36" t="s">
        <v>65</v>
      </c>
      <c r="G63" s="37" t="s">
        <v>141</v>
      </c>
      <c r="H63" s="403">
        <f>'หมายเหตุ 2'!E12</f>
        <v>17276.690000000002</v>
      </c>
      <c r="I63" s="404"/>
      <c r="J63" s="43"/>
      <c r="K63" s="39"/>
    </row>
    <row r="64" spans="1:13" ht="19.8" hidden="1">
      <c r="A64" s="85"/>
      <c r="B64" s="79"/>
      <c r="C64" s="403"/>
      <c r="D64" s="404"/>
      <c r="E64" s="44"/>
      <c r="F64" s="45" t="s">
        <v>64</v>
      </c>
      <c r="G64" s="38">
        <v>620</v>
      </c>
      <c r="H64" s="403"/>
      <c r="I64" s="404"/>
      <c r="J64" s="43"/>
      <c r="K64" s="39"/>
    </row>
    <row r="65" spans="1:13" ht="23.1" customHeight="1">
      <c r="A65" s="69"/>
      <c r="B65" s="79"/>
      <c r="C65" s="403">
        <f>5000+498000</f>
        <v>503000</v>
      </c>
      <c r="D65" s="404"/>
      <c r="E65" s="44"/>
      <c r="F65" s="36" t="s">
        <v>400</v>
      </c>
      <c r="G65" s="37" t="s">
        <v>402</v>
      </c>
      <c r="H65" s="403">
        <v>0</v>
      </c>
      <c r="I65" s="404"/>
      <c r="J65" s="43"/>
      <c r="K65" s="39"/>
    </row>
    <row r="66" spans="1:13" ht="23.1" customHeight="1">
      <c r="A66" s="69"/>
      <c r="B66" s="79"/>
      <c r="C66" s="403">
        <f>600</f>
        <v>600</v>
      </c>
      <c r="D66" s="404"/>
      <c r="E66" s="44"/>
      <c r="F66" s="36" t="s">
        <v>401</v>
      </c>
      <c r="G66" s="37" t="s">
        <v>403</v>
      </c>
      <c r="H66" s="403">
        <v>0</v>
      </c>
      <c r="I66" s="404"/>
      <c r="J66" s="43"/>
      <c r="K66" s="39"/>
    </row>
    <row r="67" spans="1:13" ht="23.1" customHeight="1">
      <c r="A67" s="69"/>
      <c r="B67" s="79"/>
      <c r="C67" s="403">
        <f>11400+28650</f>
        <v>40050</v>
      </c>
      <c r="D67" s="404"/>
      <c r="E67" s="44"/>
      <c r="F67" s="44" t="s">
        <v>189</v>
      </c>
      <c r="G67" s="37" t="s">
        <v>128</v>
      </c>
      <c r="H67" s="403">
        <v>28650</v>
      </c>
      <c r="I67" s="404"/>
      <c r="J67" s="43"/>
      <c r="K67" s="39"/>
    </row>
    <row r="68" spans="1:13" ht="23.1" customHeight="1">
      <c r="A68" s="69"/>
      <c r="B68" s="79"/>
      <c r="C68" s="403">
        <f>105000+1229200+161800+106800+107250+105000+105000</f>
        <v>1920050</v>
      </c>
      <c r="D68" s="404"/>
      <c r="E68" s="45"/>
      <c r="F68" s="45" t="s">
        <v>159</v>
      </c>
      <c r="G68" s="37" t="s">
        <v>169</v>
      </c>
      <c r="H68" s="403">
        <v>105000</v>
      </c>
      <c r="I68" s="404"/>
      <c r="J68" s="43"/>
      <c r="K68" s="39"/>
    </row>
    <row r="69" spans="1:13" ht="23.1" customHeight="1">
      <c r="A69" s="69"/>
      <c r="B69" s="79"/>
      <c r="C69" s="403">
        <v>568806</v>
      </c>
      <c r="D69" s="404"/>
      <c r="E69" s="45"/>
      <c r="F69" s="44" t="s">
        <v>14</v>
      </c>
      <c r="G69" s="37" t="s">
        <v>155</v>
      </c>
      <c r="H69" s="403">
        <v>0</v>
      </c>
      <c r="I69" s="404"/>
      <c r="J69" s="43"/>
      <c r="K69" s="39"/>
    </row>
    <row r="70" spans="1:13" ht="23.1" customHeight="1">
      <c r="A70" s="69"/>
      <c r="B70" s="79"/>
      <c r="C70" s="403">
        <f>7291+7291</f>
        <v>14582</v>
      </c>
      <c r="D70" s="404"/>
      <c r="E70" s="45"/>
      <c r="F70" s="379" t="s">
        <v>412</v>
      </c>
      <c r="G70" s="37"/>
      <c r="H70" s="403">
        <v>7291</v>
      </c>
      <c r="I70" s="404"/>
      <c r="J70" s="43"/>
      <c r="K70" s="39"/>
    </row>
    <row r="71" spans="1:13" ht="23.1" customHeight="1">
      <c r="A71" s="69"/>
      <c r="B71" s="79"/>
      <c r="C71" s="403">
        <v>0</v>
      </c>
      <c r="D71" s="404"/>
      <c r="E71" s="45"/>
      <c r="F71" s="45"/>
      <c r="G71" s="37"/>
      <c r="H71" s="403"/>
      <c r="I71" s="404"/>
      <c r="J71" s="43"/>
      <c r="K71" s="43"/>
    </row>
    <row r="72" spans="1:13" ht="19.8">
      <c r="A72" s="69"/>
      <c r="B72" s="79"/>
      <c r="C72" s="403">
        <v>0</v>
      </c>
      <c r="D72" s="404"/>
      <c r="E72" s="45"/>
      <c r="F72" s="45"/>
      <c r="G72" s="37"/>
      <c r="H72" s="403"/>
      <c r="I72" s="404"/>
      <c r="J72" s="43"/>
      <c r="K72" s="43"/>
    </row>
    <row r="73" spans="1:13" ht="19.8">
      <c r="A73" s="69"/>
      <c r="B73" s="79"/>
      <c r="C73" s="401">
        <v>0</v>
      </c>
      <c r="D73" s="402"/>
      <c r="E73" s="45"/>
      <c r="F73" s="45"/>
      <c r="G73" s="37"/>
      <c r="H73" s="401"/>
      <c r="I73" s="402"/>
      <c r="J73" s="43"/>
      <c r="K73" s="43"/>
    </row>
    <row r="74" spans="1:13" ht="21" customHeight="1">
      <c r="A74" s="69"/>
      <c r="B74" s="78"/>
      <c r="C74" s="408">
        <f>SUM(C62:D73)</f>
        <v>7791536.46</v>
      </c>
      <c r="D74" s="409"/>
      <c r="E74" s="45"/>
      <c r="F74" s="44"/>
      <c r="G74" s="37"/>
      <c r="H74" s="408">
        <f>SUM(H62:I73)</f>
        <v>818067.69</v>
      </c>
      <c r="I74" s="409"/>
      <c r="J74" s="43"/>
      <c r="K74" s="43"/>
    </row>
    <row r="75" spans="1:13" ht="17.100000000000001" customHeight="1" thickBot="1">
      <c r="A75" s="69"/>
      <c r="B75" s="78"/>
      <c r="C75" s="396">
        <f>C61+C74</f>
        <v>17057827.370000001</v>
      </c>
      <c r="D75" s="397"/>
      <c r="E75" s="405" t="s">
        <v>63</v>
      </c>
      <c r="F75" s="405"/>
      <c r="G75" s="37"/>
      <c r="H75" s="396">
        <f>+H61+H74</f>
        <v>1782623.8599999999</v>
      </c>
      <c r="I75" s="397"/>
      <c r="J75" s="43"/>
      <c r="K75" s="43"/>
    </row>
    <row r="76" spans="1:13" ht="17.100000000000001" customHeight="1" thickTop="1">
      <c r="A76" s="69"/>
      <c r="B76" s="78"/>
      <c r="C76" s="403">
        <f>C44-C75</f>
        <v>15033355</v>
      </c>
      <c r="D76" s="404"/>
      <c r="E76" s="405" t="s">
        <v>62</v>
      </c>
      <c r="F76" s="405"/>
      <c r="G76" s="37"/>
      <c r="H76" s="403">
        <f>H44-H75</f>
        <v>771473.08999999985</v>
      </c>
      <c r="I76" s="404"/>
      <c r="J76" s="43"/>
      <c r="K76" s="43"/>
    </row>
    <row r="77" spans="1:13" ht="17.100000000000001" customHeight="1">
      <c r="A77" s="71"/>
      <c r="B77" s="81"/>
      <c r="C77" s="403"/>
      <c r="D77" s="404"/>
      <c r="E77" s="405" t="s">
        <v>61</v>
      </c>
      <c r="F77" s="405"/>
      <c r="G77" s="37"/>
      <c r="H77" s="406"/>
      <c r="I77" s="407"/>
      <c r="J77" s="43" t="s">
        <v>112</v>
      </c>
      <c r="K77" s="40">
        <v>38230566.32</v>
      </c>
    </row>
    <row r="78" spans="1:13" ht="17.100000000000001" customHeight="1">
      <c r="A78" s="71"/>
      <c r="B78" s="81"/>
      <c r="C78" s="403"/>
      <c r="D78" s="404"/>
      <c r="E78" s="405" t="s">
        <v>60</v>
      </c>
      <c r="F78" s="405"/>
      <c r="G78" s="37"/>
      <c r="H78" s="403"/>
      <c r="I78" s="404"/>
      <c r="J78" s="43" t="s">
        <v>15</v>
      </c>
      <c r="K78" s="40">
        <v>1166</v>
      </c>
      <c r="L78" s="39">
        <f>SUM(K77:K78)</f>
        <v>38231732.32</v>
      </c>
    </row>
    <row r="79" spans="1:13" ht="17.100000000000001" customHeight="1" thickBot="1">
      <c r="A79" s="72"/>
      <c r="B79" s="82"/>
      <c r="C79" s="396">
        <f>C10+C44-C75</f>
        <v>38231732.319999993</v>
      </c>
      <c r="D79" s="397"/>
      <c r="E79" s="398" t="s">
        <v>59</v>
      </c>
      <c r="F79" s="399"/>
      <c r="G79" s="46"/>
      <c r="H79" s="396">
        <f>H10+H44-H75</f>
        <v>38231732.32</v>
      </c>
      <c r="I79" s="397"/>
      <c r="J79" s="100" t="s">
        <v>173</v>
      </c>
      <c r="K79" s="101">
        <f>C79-H79</f>
        <v>0</v>
      </c>
      <c r="L79" s="40"/>
      <c r="M79" s="40">
        <f>L78-H79</f>
        <v>0</v>
      </c>
    </row>
    <row r="80" spans="1:13" ht="10.5" customHeight="1" thickTop="1">
      <c r="A80" s="72"/>
      <c r="B80" s="82"/>
      <c r="C80" s="47"/>
      <c r="D80" s="47"/>
      <c r="E80" s="33"/>
      <c r="F80" s="33"/>
      <c r="G80" s="48"/>
      <c r="H80" s="47"/>
      <c r="I80" s="47"/>
      <c r="J80" s="43"/>
      <c r="K80" s="43"/>
    </row>
    <row r="81" spans="1:8" s="66" customFormat="1" ht="15.9" customHeight="1">
      <c r="A81" s="92"/>
      <c r="C81" s="65"/>
      <c r="E81" s="64"/>
      <c r="F81" s="64"/>
    </row>
    <row r="82" spans="1:8" s="66" customFormat="1" ht="21.75" customHeight="1">
      <c r="A82" s="65" t="s">
        <v>174</v>
      </c>
      <c r="D82" s="65" t="s">
        <v>167</v>
      </c>
      <c r="F82" s="64"/>
      <c r="G82" s="354" t="s">
        <v>377</v>
      </c>
      <c r="H82" s="93"/>
    </row>
    <row r="83" spans="1:8" s="66" customFormat="1" ht="18" customHeight="1">
      <c r="A83" s="400" t="s">
        <v>418</v>
      </c>
      <c r="B83" s="400"/>
      <c r="C83" s="65" t="s">
        <v>161</v>
      </c>
      <c r="E83" s="91"/>
      <c r="F83" s="91"/>
      <c r="G83" s="354" t="s">
        <v>57</v>
      </c>
    </row>
    <row r="84" spans="1:8" s="66" customFormat="1" ht="11.25" customHeight="1">
      <c r="E84" s="64"/>
      <c r="F84" s="64"/>
      <c r="G84" s="342"/>
    </row>
  </sheetData>
  <mergeCells count="175"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22:D22"/>
    <mergeCell ref="H22:I22"/>
    <mergeCell ref="C23:D23"/>
    <mergeCell ref="E23:F23"/>
    <mergeCell ref="H23:I23"/>
    <mergeCell ref="C24:D24"/>
    <mergeCell ref="H24:I24"/>
    <mergeCell ref="C20:D20"/>
    <mergeCell ref="E20:F20"/>
    <mergeCell ref="H20:I20"/>
    <mergeCell ref="C21:D21"/>
    <mergeCell ref="E21:F21"/>
    <mergeCell ref="H21:I21"/>
    <mergeCell ref="C27:D27"/>
    <mergeCell ref="H27:I27"/>
    <mergeCell ref="C28:D28"/>
    <mergeCell ref="H28:I28"/>
    <mergeCell ref="C29:D29"/>
    <mergeCell ref="H29:I29"/>
    <mergeCell ref="C25:D25"/>
    <mergeCell ref="H25:I25"/>
    <mergeCell ref="C26:D26"/>
    <mergeCell ref="E26:F26"/>
    <mergeCell ref="H26:I26"/>
    <mergeCell ref="C37:D37"/>
    <mergeCell ref="E37:F37"/>
    <mergeCell ref="H37:I37"/>
    <mergeCell ref="C38:D38"/>
    <mergeCell ref="E38:F38"/>
    <mergeCell ref="H38:I38"/>
    <mergeCell ref="C30:D30"/>
    <mergeCell ref="H30:I30"/>
    <mergeCell ref="C31:D31"/>
    <mergeCell ref="H31:I31"/>
    <mergeCell ref="C33:D33"/>
    <mergeCell ref="H33:I33"/>
    <mergeCell ref="H32:I32"/>
    <mergeCell ref="C32:D32"/>
    <mergeCell ref="C42:D42"/>
    <mergeCell ref="H42:I42"/>
    <mergeCell ref="C43:D43"/>
    <mergeCell ref="E43:F43"/>
    <mergeCell ref="H43:I43"/>
    <mergeCell ref="C44:D44"/>
    <mergeCell ref="E44:F44"/>
    <mergeCell ref="H44:I44"/>
    <mergeCell ref="C39:D39"/>
    <mergeCell ref="E39:F39"/>
    <mergeCell ref="H39:I39"/>
    <mergeCell ref="C40:D40"/>
    <mergeCell ref="H40:I40"/>
    <mergeCell ref="C41:D41"/>
    <mergeCell ref="H41:I41"/>
    <mergeCell ref="L50:M50"/>
    <mergeCell ref="A45:D45"/>
    <mergeCell ref="E45:F47"/>
    <mergeCell ref="G45:G47"/>
    <mergeCell ref="H45:I45"/>
    <mergeCell ref="A46:B46"/>
    <mergeCell ref="C46:D46"/>
    <mergeCell ref="H46:I46"/>
    <mergeCell ref="A47:B47"/>
    <mergeCell ref="C47:D47"/>
    <mergeCell ref="H47:I47"/>
    <mergeCell ref="C51:D51"/>
    <mergeCell ref="H51:I51"/>
    <mergeCell ref="C53:D53"/>
    <mergeCell ref="H53:I53"/>
    <mergeCell ref="C54:D54"/>
    <mergeCell ref="H54:I54"/>
    <mergeCell ref="H48:I48"/>
    <mergeCell ref="C49:D49"/>
    <mergeCell ref="H49:I49"/>
    <mergeCell ref="C50:D50"/>
    <mergeCell ref="H50:I50"/>
    <mergeCell ref="H52:I52"/>
    <mergeCell ref="C52:D52"/>
    <mergeCell ref="C58:D58"/>
    <mergeCell ref="H58:I58"/>
    <mergeCell ref="C59:D59"/>
    <mergeCell ref="H59:I59"/>
    <mergeCell ref="C60:D60"/>
    <mergeCell ref="H60:I60"/>
    <mergeCell ref="C55:D55"/>
    <mergeCell ref="H55:I55"/>
    <mergeCell ref="C56:D56"/>
    <mergeCell ref="H56:I56"/>
    <mergeCell ref="C57:D57"/>
    <mergeCell ref="H57:I57"/>
    <mergeCell ref="C71:D71"/>
    <mergeCell ref="H71:I71"/>
    <mergeCell ref="C72:D72"/>
    <mergeCell ref="H72:I72"/>
    <mergeCell ref="C61:D61"/>
    <mergeCell ref="H61:I61"/>
    <mergeCell ref="C62:D62"/>
    <mergeCell ref="H62:I62"/>
    <mergeCell ref="C63:D63"/>
    <mergeCell ref="H63:I63"/>
    <mergeCell ref="C68:D68"/>
    <mergeCell ref="H68:I68"/>
    <mergeCell ref="C69:D69"/>
    <mergeCell ref="H69:I69"/>
    <mergeCell ref="C70:D70"/>
    <mergeCell ref="H70:I70"/>
    <mergeCell ref="C64:D64"/>
    <mergeCell ref="H64:I64"/>
    <mergeCell ref="C65:D65"/>
    <mergeCell ref="H65:I65"/>
    <mergeCell ref="C66:D66"/>
    <mergeCell ref="H66:I66"/>
    <mergeCell ref="C67:D67"/>
    <mergeCell ref="H67:I67"/>
    <mergeCell ref="C79:D79"/>
    <mergeCell ref="E79:F79"/>
    <mergeCell ref="H79:I79"/>
    <mergeCell ref="A83:B83"/>
    <mergeCell ref="H73:I73"/>
    <mergeCell ref="C73:D73"/>
    <mergeCell ref="C77:D77"/>
    <mergeCell ref="E77:F77"/>
    <mergeCell ref="H77:I77"/>
    <mergeCell ref="C78:D78"/>
    <mergeCell ref="E78:F78"/>
    <mergeCell ref="H78:I78"/>
    <mergeCell ref="C75:D75"/>
    <mergeCell ref="E75:F75"/>
    <mergeCell ref="H75:I75"/>
    <mergeCell ref="C76:D76"/>
    <mergeCell ref="E76:F76"/>
    <mergeCell ref="H76:I76"/>
    <mergeCell ref="C74:D74"/>
    <mergeCell ref="H74:I74"/>
  </mergeCells>
  <pageMargins left="0.45" right="0" top="0.31" bottom="0.52" header="0.79" footer="0.5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6"/>
  <sheetViews>
    <sheetView zoomScale="120" zoomScaleNormal="120" workbookViewId="0">
      <selection activeCell="A10" sqref="A10:E10"/>
    </sheetView>
  </sheetViews>
  <sheetFormatPr defaultRowHeight="13.2"/>
  <cols>
    <col min="2" max="2" width="10.6640625" customWidth="1"/>
    <col min="5" max="5" width="17.109375" customWidth="1"/>
    <col min="7" max="7" width="10.33203125" customWidth="1"/>
    <col min="8" max="8" width="7.33203125" customWidth="1"/>
    <col min="10" max="10" width="13" customWidth="1"/>
    <col min="12" max="12" width="14" bestFit="1" customWidth="1"/>
  </cols>
  <sheetData>
    <row r="1" spans="1:12" ht="20.399999999999999">
      <c r="A1" s="480" t="s">
        <v>0</v>
      </c>
      <c r="B1" s="480"/>
      <c r="C1" s="480"/>
      <c r="D1" s="480"/>
      <c r="E1" s="480"/>
      <c r="F1" s="480"/>
      <c r="G1" s="480"/>
      <c r="H1" s="480"/>
      <c r="I1" s="480"/>
      <c r="J1" s="480"/>
    </row>
    <row r="2" spans="1:12" ht="20.399999999999999">
      <c r="A2" s="480" t="s">
        <v>404</v>
      </c>
      <c r="B2" s="480"/>
      <c r="C2" s="480"/>
      <c r="D2" s="480"/>
      <c r="E2" s="480"/>
      <c r="F2" s="480"/>
      <c r="G2" s="480"/>
      <c r="H2" s="480"/>
      <c r="I2" s="480"/>
      <c r="J2" s="480"/>
    </row>
    <row r="3" spans="1:12" ht="20.399999999999999">
      <c r="A3" s="481" t="s">
        <v>431</v>
      </c>
      <c r="B3" s="481"/>
      <c r="C3" s="481"/>
      <c r="D3" s="481"/>
      <c r="E3" s="481"/>
      <c r="F3" s="481"/>
      <c r="G3" s="481"/>
      <c r="H3" s="481"/>
      <c r="I3" s="481"/>
      <c r="J3" s="481"/>
    </row>
    <row r="4" spans="1:12" ht="20.399999999999999">
      <c r="A4" s="482" t="s">
        <v>1</v>
      </c>
      <c r="B4" s="483"/>
      <c r="C4" s="483"/>
      <c r="D4" s="483"/>
      <c r="E4" s="484"/>
      <c r="F4" s="56" t="s">
        <v>2</v>
      </c>
      <c r="G4" s="485" t="s">
        <v>3</v>
      </c>
      <c r="H4" s="486"/>
      <c r="I4" s="485" t="s">
        <v>4</v>
      </c>
      <c r="J4" s="486"/>
    </row>
    <row r="5" spans="1:12" ht="21">
      <c r="A5" s="470" t="s">
        <v>15</v>
      </c>
      <c r="B5" s="471"/>
      <c r="C5" s="471"/>
      <c r="D5" s="471"/>
      <c r="E5" s="472"/>
      <c r="F5" s="94" t="s">
        <v>144</v>
      </c>
      <c r="G5" s="491">
        <v>1166</v>
      </c>
      <c r="H5" s="491"/>
      <c r="I5" s="492"/>
      <c r="J5" s="492"/>
    </row>
    <row r="6" spans="1:12" ht="21">
      <c r="A6" s="487" t="s">
        <v>176</v>
      </c>
      <c r="B6" s="488"/>
      <c r="C6" s="488"/>
      <c r="D6" s="488"/>
      <c r="E6" s="489"/>
      <c r="F6" s="94" t="s">
        <v>145</v>
      </c>
      <c r="G6" s="493">
        <v>796230.6</v>
      </c>
      <c r="H6" s="494"/>
      <c r="I6" s="493"/>
      <c r="J6" s="494"/>
    </row>
    <row r="7" spans="1:12" ht="21">
      <c r="A7" s="487" t="s">
        <v>177</v>
      </c>
      <c r="B7" s="488"/>
      <c r="C7" s="488"/>
      <c r="D7" s="488"/>
      <c r="E7" s="489"/>
      <c r="F7" s="94"/>
      <c r="G7" s="466">
        <v>459613.43</v>
      </c>
      <c r="H7" s="467"/>
      <c r="I7" s="466"/>
      <c r="J7" s="467"/>
    </row>
    <row r="8" spans="1:12" ht="21">
      <c r="A8" s="487" t="s">
        <v>178</v>
      </c>
      <c r="B8" s="488"/>
      <c r="C8" s="488"/>
      <c r="D8" s="488"/>
      <c r="E8" s="489"/>
      <c r="F8" s="94"/>
      <c r="G8" s="466">
        <v>14391950.140000001</v>
      </c>
      <c r="H8" s="467"/>
      <c r="I8" s="466"/>
      <c r="J8" s="467"/>
    </row>
    <row r="9" spans="1:12" ht="21">
      <c r="A9" s="470" t="s">
        <v>179</v>
      </c>
      <c r="B9" s="471"/>
      <c r="C9" s="471"/>
      <c r="D9" s="471"/>
      <c r="E9" s="472"/>
      <c r="F9" s="94" t="s">
        <v>146</v>
      </c>
      <c r="G9" s="466">
        <v>7753180.3899999997</v>
      </c>
      <c r="H9" s="467"/>
      <c r="I9" s="466"/>
      <c r="J9" s="467"/>
    </row>
    <row r="10" spans="1:12" ht="21">
      <c r="A10" s="470" t="s">
        <v>180</v>
      </c>
      <c r="B10" s="471"/>
      <c r="C10" s="471"/>
      <c r="D10" s="471"/>
      <c r="E10" s="472"/>
      <c r="F10" s="94"/>
      <c r="G10" s="466">
        <v>774066.26</v>
      </c>
      <c r="H10" s="467"/>
      <c r="I10" s="466"/>
      <c r="J10" s="467"/>
    </row>
    <row r="11" spans="1:12" ht="21">
      <c r="A11" s="119" t="s">
        <v>185</v>
      </c>
      <c r="B11" s="120"/>
      <c r="C11" s="120"/>
      <c r="D11" s="120"/>
      <c r="E11" s="121"/>
      <c r="F11" s="94"/>
      <c r="G11" s="468">
        <v>14055525.5</v>
      </c>
      <c r="H11" s="469"/>
      <c r="I11" s="116"/>
      <c r="J11" s="117"/>
      <c r="L11" s="112">
        <f>SUM(G6:H11)</f>
        <v>38230566.32</v>
      </c>
    </row>
    <row r="12" spans="1:12" ht="21">
      <c r="A12" s="470" t="s">
        <v>410</v>
      </c>
      <c r="B12" s="471"/>
      <c r="C12" s="471"/>
      <c r="D12" s="471"/>
      <c r="E12" s="472"/>
      <c r="F12" s="94" t="s">
        <v>147</v>
      </c>
      <c r="G12" s="468">
        <f>110760-858.85-1965.12-56.96-8096.33-1504.99-2759-1124.07</f>
        <v>94394.679999999978</v>
      </c>
      <c r="H12" s="469"/>
      <c r="I12" s="468"/>
      <c r="J12" s="469"/>
    </row>
    <row r="13" spans="1:12" ht="21">
      <c r="A13" s="475" t="s">
        <v>381</v>
      </c>
      <c r="B13" s="476"/>
      <c r="C13" s="476"/>
      <c r="D13" s="476"/>
      <c r="E13" s="477"/>
      <c r="F13" s="94" t="s">
        <v>148</v>
      </c>
      <c r="G13" s="466">
        <f>108145-4390-6895-2790-1085-75</f>
        <v>92910</v>
      </c>
      <c r="H13" s="467"/>
      <c r="I13" s="466"/>
      <c r="J13" s="467"/>
    </row>
    <row r="14" spans="1:12" ht="21">
      <c r="A14" s="490" t="s">
        <v>13</v>
      </c>
      <c r="B14" s="490"/>
      <c r="C14" s="490"/>
      <c r="D14" s="490"/>
      <c r="E14" s="490"/>
      <c r="F14" s="94" t="s">
        <v>128</v>
      </c>
      <c r="G14" s="466">
        <f>11400-11400+28650</f>
        <v>28650</v>
      </c>
      <c r="H14" s="467"/>
      <c r="I14" s="466"/>
      <c r="J14" s="467"/>
    </row>
    <row r="15" spans="1:12" ht="21">
      <c r="A15" s="490" t="s">
        <v>190</v>
      </c>
      <c r="B15" s="490"/>
      <c r="C15" s="490"/>
      <c r="D15" s="490"/>
      <c r="E15" s="490"/>
      <c r="F15" s="94" t="s">
        <v>169</v>
      </c>
      <c r="G15" s="468">
        <f>105000+105000-105000</f>
        <v>105000</v>
      </c>
      <c r="H15" s="469"/>
      <c r="I15" s="123"/>
      <c r="J15" s="124"/>
    </row>
    <row r="16" spans="1:12" ht="21">
      <c r="A16" s="490" t="s">
        <v>154</v>
      </c>
      <c r="B16" s="490"/>
      <c r="C16" s="490"/>
      <c r="D16" s="490"/>
      <c r="E16" s="490"/>
      <c r="F16" s="94"/>
      <c r="G16" s="466">
        <f>113000-16000-21000</f>
        <v>76000</v>
      </c>
      <c r="H16" s="467"/>
      <c r="I16" s="116"/>
      <c r="J16" s="117"/>
    </row>
    <row r="17" spans="1:10" ht="21">
      <c r="A17" s="470" t="s">
        <v>6</v>
      </c>
      <c r="B17" s="471"/>
      <c r="C17" s="471"/>
      <c r="D17" s="471"/>
      <c r="E17" s="472"/>
      <c r="F17" s="94" t="s">
        <v>192</v>
      </c>
      <c r="G17" s="468">
        <v>386433.7</v>
      </c>
      <c r="H17" s="469"/>
      <c r="I17" s="123"/>
      <c r="J17" s="124"/>
    </row>
    <row r="18" spans="1:10" ht="21">
      <c r="A18" s="470" t="s">
        <v>130</v>
      </c>
      <c r="B18" s="471"/>
      <c r="C18" s="471"/>
      <c r="D18" s="471"/>
      <c r="E18" s="472"/>
      <c r="F18" s="94" t="s">
        <v>132</v>
      </c>
      <c r="G18" s="468">
        <v>1197420</v>
      </c>
      <c r="H18" s="469"/>
      <c r="I18" s="123"/>
      <c r="J18" s="124"/>
    </row>
    <row r="19" spans="1:10" ht="21">
      <c r="A19" s="470" t="s">
        <v>131</v>
      </c>
      <c r="B19" s="471"/>
      <c r="C19" s="471"/>
      <c r="D19" s="471"/>
      <c r="E19" s="472"/>
      <c r="F19" s="94" t="s">
        <v>133</v>
      </c>
      <c r="G19" s="468">
        <v>2250222</v>
      </c>
      <c r="H19" s="469"/>
      <c r="I19" s="123"/>
      <c r="J19" s="124"/>
    </row>
    <row r="20" spans="1:10" ht="21">
      <c r="A20" s="470" t="s">
        <v>195</v>
      </c>
      <c r="B20" s="471"/>
      <c r="C20" s="471"/>
      <c r="D20" s="471"/>
      <c r="E20" s="472"/>
      <c r="F20" s="94" t="s">
        <v>133</v>
      </c>
      <c r="G20" s="468">
        <v>705600</v>
      </c>
      <c r="H20" s="469"/>
      <c r="I20" s="123"/>
      <c r="J20" s="124"/>
    </row>
    <row r="21" spans="1:10" ht="21">
      <c r="A21" s="470" t="s">
        <v>7</v>
      </c>
      <c r="B21" s="471"/>
      <c r="C21" s="471"/>
      <c r="D21" s="471"/>
      <c r="E21" s="472"/>
      <c r="F21" s="94" t="s">
        <v>134</v>
      </c>
      <c r="G21" s="468">
        <v>186905</v>
      </c>
      <c r="H21" s="469"/>
      <c r="I21" s="123"/>
      <c r="J21" s="124"/>
    </row>
    <row r="22" spans="1:10" ht="21">
      <c r="A22" s="470" t="s">
        <v>8</v>
      </c>
      <c r="B22" s="471"/>
      <c r="C22" s="471"/>
      <c r="D22" s="471"/>
      <c r="E22" s="472"/>
      <c r="F22" s="94" t="s">
        <v>135</v>
      </c>
      <c r="G22" s="468">
        <v>1117704.43</v>
      </c>
      <c r="H22" s="469"/>
      <c r="I22" s="123"/>
      <c r="J22" s="124"/>
    </row>
    <row r="23" spans="1:10" ht="21">
      <c r="A23" s="470" t="s">
        <v>9</v>
      </c>
      <c r="B23" s="471"/>
      <c r="C23" s="471"/>
      <c r="D23" s="471"/>
      <c r="E23" s="472"/>
      <c r="F23" s="94" t="s">
        <v>136</v>
      </c>
      <c r="G23" s="468">
        <v>1030801.8</v>
      </c>
      <c r="H23" s="469"/>
      <c r="I23" s="123"/>
      <c r="J23" s="124"/>
    </row>
    <row r="24" spans="1:10" ht="21">
      <c r="A24" s="470" t="s">
        <v>10</v>
      </c>
      <c r="B24" s="471"/>
      <c r="C24" s="471"/>
      <c r="D24" s="471"/>
      <c r="E24" s="472"/>
      <c r="F24" s="94" t="s">
        <v>137</v>
      </c>
      <c r="G24" s="468">
        <v>502123.88</v>
      </c>
      <c r="H24" s="469"/>
      <c r="I24" s="123"/>
      <c r="J24" s="124"/>
    </row>
    <row r="25" spans="1:10" ht="21">
      <c r="A25" s="470" t="s">
        <v>12</v>
      </c>
      <c r="B25" s="471"/>
      <c r="C25" s="471"/>
      <c r="D25" s="471"/>
      <c r="E25" s="472"/>
      <c r="F25" s="94" t="s">
        <v>138</v>
      </c>
      <c r="G25" s="468">
        <v>123280.1</v>
      </c>
      <c r="H25" s="469"/>
      <c r="I25" s="123"/>
      <c r="J25" s="124"/>
    </row>
    <row r="26" spans="1:10" ht="21">
      <c r="A26" s="470" t="s">
        <v>56</v>
      </c>
      <c r="B26" s="471"/>
      <c r="C26" s="471"/>
      <c r="D26" s="471"/>
      <c r="E26" s="472"/>
      <c r="F26" s="94" t="s">
        <v>193</v>
      </c>
      <c r="G26" s="468">
        <v>379800</v>
      </c>
      <c r="H26" s="469"/>
      <c r="I26" s="123"/>
      <c r="J26" s="124"/>
    </row>
    <row r="27" spans="1:10" ht="21">
      <c r="A27" s="475" t="s">
        <v>191</v>
      </c>
      <c r="B27" s="476"/>
      <c r="C27" s="476"/>
      <c r="D27" s="476"/>
      <c r="E27" s="477"/>
      <c r="F27" s="94" t="s">
        <v>140</v>
      </c>
      <c r="G27" s="468">
        <v>0</v>
      </c>
      <c r="H27" s="469"/>
      <c r="I27" s="123"/>
      <c r="J27" s="124"/>
    </row>
    <row r="28" spans="1:10" ht="21">
      <c r="A28" s="470" t="s">
        <v>11</v>
      </c>
      <c r="B28" s="471"/>
      <c r="C28" s="471"/>
      <c r="D28" s="471"/>
      <c r="E28" s="472"/>
      <c r="F28" s="94" t="s">
        <v>194</v>
      </c>
      <c r="G28" s="468">
        <v>1386000</v>
      </c>
      <c r="H28" s="469"/>
      <c r="I28" s="123"/>
      <c r="J28" s="124"/>
    </row>
    <row r="29" spans="1:10" ht="21">
      <c r="A29" s="470" t="s">
        <v>76</v>
      </c>
      <c r="B29" s="471"/>
      <c r="C29" s="471"/>
      <c r="D29" s="471"/>
      <c r="E29" s="472"/>
      <c r="F29" s="94"/>
      <c r="G29" s="468">
        <v>4576950</v>
      </c>
      <c r="H29" s="469"/>
      <c r="I29" s="123"/>
      <c r="J29" s="124"/>
    </row>
    <row r="30" spans="1:10" ht="21">
      <c r="A30" s="470" t="s">
        <v>406</v>
      </c>
      <c r="B30" s="471"/>
      <c r="C30" s="471"/>
      <c r="D30" s="471"/>
      <c r="E30" s="472"/>
      <c r="F30" s="94"/>
      <c r="G30" s="366"/>
      <c r="H30" s="367"/>
      <c r="I30" s="468">
        <v>2000</v>
      </c>
      <c r="J30" s="469"/>
    </row>
    <row r="31" spans="1:10" ht="21">
      <c r="A31" s="470" t="s">
        <v>14</v>
      </c>
      <c r="B31" s="471"/>
      <c r="C31" s="471"/>
      <c r="D31" s="471"/>
      <c r="E31" s="472"/>
      <c r="F31" s="94" t="s">
        <v>143</v>
      </c>
      <c r="G31" s="466"/>
      <c r="H31" s="467"/>
      <c r="I31" s="466">
        <f>12015235.92+300+130065.07+450-568806+0.01</f>
        <v>11577245</v>
      </c>
      <c r="J31" s="467"/>
    </row>
    <row r="32" spans="1:10" ht="21">
      <c r="A32" s="470" t="s">
        <v>16</v>
      </c>
      <c r="B32" s="471"/>
      <c r="C32" s="471"/>
      <c r="D32" s="471"/>
      <c r="E32" s="472"/>
      <c r="F32" s="94" t="s">
        <v>149</v>
      </c>
      <c r="G32" s="466"/>
      <c r="H32" s="467"/>
      <c r="I32" s="466">
        <f>8760466.84</f>
        <v>8760466.8399999999</v>
      </c>
      <c r="J32" s="467"/>
    </row>
    <row r="33" spans="1:12" ht="21">
      <c r="A33" s="362" t="s">
        <v>390</v>
      </c>
      <c r="B33" s="114"/>
      <c r="C33" s="114"/>
      <c r="D33" s="114"/>
      <c r="E33" s="115"/>
      <c r="F33" s="94" t="s">
        <v>142</v>
      </c>
      <c r="G33" s="468"/>
      <c r="H33" s="469"/>
      <c r="I33" s="468">
        <v>5</v>
      </c>
      <c r="J33" s="469"/>
    </row>
    <row r="34" spans="1:12" ht="21">
      <c r="A34" s="362" t="s">
        <v>401</v>
      </c>
      <c r="B34" s="114"/>
      <c r="C34" s="114"/>
      <c r="D34" s="114"/>
      <c r="E34" s="115"/>
      <c r="F34" s="94" t="s">
        <v>403</v>
      </c>
      <c r="G34" s="468"/>
      <c r="H34" s="469"/>
      <c r="I34" s="468">
        <v>980000</v>
      </c>
      <c r="J34" s="469"/>
    </row>
    <row r="35" spans="1:12" ht="21">
      <c r="A35" s="470" t="s">
        <v>380</v>
      </c>
      <c r="B35" s="471"/>
      <c r="C35" s="471"/>
      <c r="D35" s="471"/>
      <c r="E35" s="472"/>
      <c r="F35" s="94"/>
      <c r="G35" s="466"/>
      <c r="H35" s="467"/>
      <c r="I35" s="466">
        <v>850066.26</v>
      </c>
      <c r="J35" s="467"/>
    </row>
    <row r="36" spans="1:12" ht="21">
      <c r="A36" s="470" t="s">
        <v>284</v>
      </c>
      <c r="B36" s="471"/>
      <c r="C36" s="471"/>
      <c r="D36" s="471"/>
      <c r="E36" s="472"/>
      <c r="F36" s="94" t="s">
        <v>196</v>
      </c>
      <c r="G36" s="123"/>
      <c r="H36" s="124"/>
      <c r="I36" s="468">
        <f>1245446.26+1365525.15+16179055.76+2407562.11+3157045.77+3216749.01+2314713.55+121250</f>
        <v>30007347.610000003</v>
      </c>
      <c r="J36" s="469"/>
    </row>
    <row r="37" spans="1:12" ht="21">
      <c r="A37" s="470" t="s">
        <v>17</v>
      </c>
      <c r="B37" s="471"/>
      <c r="C37" s="471" t="s">
        <v>18</v>
      </c>
      <c r="D37" s="471"/>
      <c r="E37" s="472"/>
      <c r="F37" s="94" t="s">
        <v>150</v>
      </c>
      <c r="G37" s="466"/>
      <c r="H37" s="467"/>
      <c r="I37" s="466">
        <v>2071.83</v>
      </c>
      <c r="J37" s="467"/>
    </row>
    <row r="38" spans="1:12" ht="21">
      <c r="A38" s="470"/>
      <c r="B38" s="471"/>
      <c r="C38" s="471" t="s">
        <v>19</v>
      </c>
      <c r="D38" s="471"/>
      <c r="E38" s="472"/>
      <c r="F38" s="94" t="s">
        <v>151</v>
      </c>
      <c r="G38" s="466"/>
      <c r="H38" s="467"/>
      <c r="I38" s="466">
        <v>282200</v>
      </c>
      <c r="J38" s="467"/>
    </row>
    <row r="39" spans="1:12" ht="21">
      <c r="A39" s="470"/>
      <c r="B39" s="471"/>
      <c r="C39" s="471" t="s">
        <v>20</v>
      </c>
      <c r="D39" s="471"/>
      <c r="E39" s="472"/>
      <c r="F39" s="94" t="s">
        <v>153</v>
      </c>
      <c r="G39" s="466"/>
      <c r="H39" s="467"/>
      <c r="I39" s="478">
        <v>1470.25</v>
      </c>
      <c r="J39" s="479"/>
    </row>
    <row r="40" spans="1:12" ht="21">
      <c r="A40" s="113"/>
      <c r="B40" s="114"/>
      <c r="C40" s="471" t="s">
        <v>21</v>
      </c>
      <c r="D40" s="471"/>
      <c r="E40" s="472"/>
      <c r="F40" s="94" t="s">
        <v>152</v>
      </c>
      <c r="G40" s="466"/>
      <c r="H40" s="467"/>
      <c r="I40" s="466">
        <v>1764.12</v>
      </c>
      <c r="J40" s="467"/>
    </row>
    <row r="41" spans="1:12" ht="21">
      <c r="A41" s="374"/>
      <c r="B41" s="375"/>
      <c r="C41" s="375" t="s">
        <v>414</v>
      </c>
      <c r="D41" s="375"/>
      <c r="E41" s="375"/>
      <c r="F41" s="94"/>
      <c r="G41" s="376"/>
      <c r="H41" s="377"/>
      <c r="I41" s="376"/>
      <c r="J41" s="377">
        <v>7291</v>
      </c>
    </row>
    <row r="42" spans="1:12" ht="21.6" thickBot="1">
      <c r="A42" s="95"/>
      <c r="B42" s="95"/>
      <c r="C42" s="95"/>
      <c r="D42" s="95"/>
      <c r="E42" s="95"/>
      <c r="F42" s="96"/>
      <c r="G42" s="473">
        <f>SUM(G5:H40)</f>
        <v>52471927.910000004</v>
      </c>
      <c r="H42" s="474"/>
      <c r="I42" s="473">
        <f>SUM(I30:J41)</f>
        <v>52471927.910000004</v>
      </c>
      <c r="J42" s="474"/>
      <c r="L42" s="112">
        <f>G42-I42</f>
        <v>0</v>
      </c>
    </row>
    <row r="43" spans="1:12" ht="26.25" customHeight="1" thickTop="1">
      <c r="A43" s="66"/>
      <c r="B43" s="66"/>
      <c r="C43" s="66"/>
      <c r="D43" s="66"/>
      <c r="E43" s="66"/>
      <c r="F43" s="66"/>
      <c r="G43" s="66"/>
      <c r="H43" s="66"/>
      <c r="I43" s="66"/>
      <c r="J43" s="66"/>
    </row>
    <row r="44" spans="1:12" ht="21">
      <c r="A44" s="65" t="s">
        <v>170</v>
      </c>
      <c r="B44" s="66"/>
      <c r="C44" s="66"/>
      <c r="D44" s="65" t="s">
        <v>168</v>
      </c>
      <c r="E44" s="66"/>
      <c r="F44" s="118"/>
      <c r="G44" s="66"/>
      <c r="H44" s="93"/>
      <c r="I44" s="355" t="s">
        <v>377</v>
      </c>
      <c r="J44" s="66"/>
    </row>
    <row r="45" spans="1:12" ht="21">
      <c r="A45" s="400" t="s">
        <v>388</v>
      </c>
      <c r="B45" s="400"/>
      <c r="C45" s="65"/>
      <c r="D45" s="65" t="s">
        <v>160</v>
      </c>
      <c r="E45" s="91"/>
      <c r="F45" s="91"/>
      <c r="G45" s="66"/>
      <c r="H45" s="66"/>
      <c r="I45" s="355" t="s">
        <v>57</v>
      </c>
      <c r="J45" s="66"/>
    </row>
    <row r="46" spans="1:12" ht="21">
      <c r="A46" s="57"/>
      <c r="B46" s="57"/>
      <c r="C46" s="57"/>
      <c r="D46" s="57"/>
      <c r="E46" s="57"/>
      <c r="F46" s="57"/>
      <c r="G46" s="57"/>
      <c r="H46" s="57"/>
      <c r="I46" s="342"/>
      <c r="J46" s="57"/>
    </row>
  </sheetData>
  <mergeCells count="99">
    <mergeCell ref="A16:E16"/>
    <mergeCell ref="G16:H16"/>
    <mergeCell ref="A15:E15"/>
    <mergeCell ref="A10:E10"/>
    <mergeCell ref="G10:H10"/>
    <mergeCell ref="G15:H15"/>
    <mergeCell ref="G11:H11"/>
    <mergeCell ref="A12:E12"/>
    <mergeCell ref="G12:H12"/>
    <mergeCell ref="A13:E13"/>
    <mergeCell ref="G13:H13"/>
    <mergeCell ref="A5:E5"/>
    <mergeCell ref="G5:H5"/>
    <mergeCell ref="I5:J5"/>
    <mergeCell ref="A6:E6"/>
    <mergeCell ref="G6:H6"/>
    <mergeCell ref="I6:J6"/>
    <mergeCell ref="A8:E8"/>
    <mergeCell ref="G8:H8"/>
    <mergeCell ref="I8:J8"/>
    <mergeCell ref="I30:J30"/>
    <mergeCell ref="A7:E7"/>
    <mergeCell ref="G7:H7"/>
    <mergeCell ref="I7:J7"/>
    <mergeCell ref="A9:E9"/>
    <mergeCell ref="G9:H9"/>
    <mergeCell ref="I9:J9"/>
    <mergeCell ref="I10:J10"/>
    <mergeCell ref="A14:E14"/>
    <mergeCell ref="G14:H14"/>
    <mergeCell ref="I14:J14"/>
    <mergeCell ref="I12:J12"/>
    <mergeCell ref="I13:J13"/>
    <mergeCell ref="A1:J1"/>
    <mergeCell ref="A2:J2"/>
    <mergeCell ref="A3:J3"/>
    <mergeCell ref="A4:E4"/>
    <mergeCell ref="G4:H4"/>
    <mergeCell ref="I4:J4"/>
    <mergeCell ref="G20:H20"/>
    <mergeCell ref="G25:H25"/>
    <mergeCell ref="G26:H26"/>
    <mergeCell ref="G27:H27"/>
    <mergeCell ref="G28:H28"/>
    <mergeCell ref="G24:H24"/>
    <mergeCell ref="I42:J42"/>
    <mergeCell ref="A35:E35"/>
    <mergeCell ref="G35:H35"/>
    <mergeCell ref="I35:J35"/>
    <mergeCell ref="A37:B37"/>
    <mergeCell ref="C37:E37"/>
    <mergeCell ref="G37:H37"/>
    <mergeCell ref="I37:J37"/>
    <mergeCell ref="A36:E36"/>
    <mergeCell ref="I36:J36"/>
    <mergeCell ref="A38:B38"/>
    <mergeCell ref="C38:E38"/>
    <mergeCell ref="G38:H38"/>
    <mergeCell ref="I38:J38"/>
    <mergeCell ref="A39:B39"/>
    <mergeCell ref="I39:J39"/>
    <mergeCell ref="A26:E26"/>
    <mergeCell ref="A27:E27"/>
    <mergeCell ref="A28:E28"/>
    <mergeCell ref="A29:E29"/>
    <mergeCell ref="I32:J32"/>
    <mergeCell ref="A31:E31"/>
    <mergeCell ref="G31:H31"/>
    <mergeCell ref="I31:J31"/>
    <mergeCell ref="G29:H29"/>
    <mergeCell ref="A30:E30"/>
    <mergeCell ref="G33:H33"/>
    <mergeCell ref="I33:J33"/>
    <mergeCell ref="G34:H34"/>
    <mergeCell ref="I34:J34"/>
    <mergeCell ref="A32:E32"/>
    <mergeCell ref="G32:H32"/>
    <mergeCell ref="A45:B45"/>
    <mergeCell ref="C40:E40"/>
    <mergeCell ref="G40:H40"/>
    <mergeCell ref="C39:E39"/>
    <mergeCell ref="G39:H39"/>
    <mergeCell ref="G42:H42"/>
    <mergeCell ref="I40:J40"/>
    <mergeCell ref="G17:H17"/>
    <mergeCell ref="G18:H18"/>
    <mergeCell ref="A17:E17"/>
    <mergeCell ref="A18:E18"/>
    <mergeCell ref="A19:E19"/>
    <mergeCell ref="G19:H19"/>
    <mergeCell ref="A21:E21"/>
    <mergeCell ref="A22:E22"/>
    <mergeCell ref="A23:E23"/>
    <mergeCell ref="A24:E24"/>
    <mergeCell ref="A20:E20"/>
    <mergeCell ref="A25:E25"/>
    <mergeCell ref="G21:H21"/>
    <mergeCell ref="G22:H22"/>
    <mergeCell ref="G23:H23"/>
  </mergeCells>
  <pageMargins left="0.6692913385826772" right="0.70866141732283472" top="0.15748031496062992" bottom="0.15748031496062992" header="0.19685039370078741" footer="0.1574803149606299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topLeftCell="A25" workbookViewId="0">
      <selection activeCell="C33" sqref="C33"/>
    </sheetView>
  </sheetViews>
  <sheetFormatPr defaultColWidth="9.109375" defaultRowHeight="23.4"/>
  <cols>
    <col min="1" max="1" width="25.44140625" style="99" customWidth="1"/>
    <col min="2" max="2" width="8.88671875" style="99" bestFit="1" customWidth="1"/>
    <col min="3" max="3" width="13.6640625" style="99" customWidth="1"/>
    <col min="4" max="4" width="12.6640625" style="99" customWidth="1"/>
    <col min="5" max="5" width="12.6640625" style="99" bestFit="1" customWidth="1"/>
    <col min="6" max="6" width="14.5546875" style="99" customWidth="1"/>
    <col min="7" max="16384" width="9.109375" style="99"/>
  </cols>
  <sheetData>
    <row r="1" spans="1:6">
      <c r="A1" s="495" t="s">
        <v>171</v>
      </c>
      <c r="B1" s="495"/>
      <c r="C1" s="495"/>
      <c r="D1" s="495"/>
      <c r="E1" s="495"/>
      <c r="F1" s="495"/>
    </row>
    <row r="2" spans="1:6">
      <c r="A2" s="495" t="s">
        <v>421</v>
      </c>
      <c r="B2" s="495"/>
      <c r="C2" s="495"/>
      <c r="D2" s="495"/>
      <c r="E2" s="495"/>
      <c r="F2" s="495"/>
    </row>
    <row r="3" spans="1:6">
      <c r="A3" s="108" t="s">
        <v>46</v>
      </c>
      <c r="B3" s="108" t="s">
        <v>2</v>
      </c>
      <c r="C3" s="108" t="s">
        <v>55</v>
      </c>
      <c r="D3" s="108" t="s">
        <v>47</v>
      </c>
      <c r="E3" s="108" t="s">
        <v>48</v>
      </c>
      <c r="F3" s="108" t="s">
        <v>49</v>
      </c>
    </row>
    <row r="4" spans="1:6">
      <c r="A4" s="102" t="s">
        <v>50</v>
      </c>
      <c r="B4" s="103">
        <v>230102</v>
      </c>
      <c r="C4" s="104">
        <v>12086.69</v>
      </c>
      <c r="D4" s="104">
        <v>2071.83</v>
      </c>
      <c r="E4" s="104">
        <v>12086.69</v>
      </c>
      <c r="F4" s="104">
        <f t="shared" ref="F4:F9" si="0">C4+D4-E4</f>
        <v>2071.83</v>
      </c>
    </row>
    <row r="5" spans="1:6">
      <c r="A5" s="102" t="s">
        <v>51</v>
      </c>
      <c r="B5" s="103">
        <v>230108</v>
      </c>
      <c r="C5" s="104">
        <v>287390</v>
      </c>
      <c r="D5" s="104">
        <v>0</v>
      </c>
      <c r="E5" s="104">
        <v>5190</v>
      </c>
      <c r="F5" s="104">
        <f t="shared" si="0"/>
        <v>282200</v>
      </c>
    </row>
    <row r="6" spans="1:6">
      <c r="A6" s="102" t="s">
        <v>52</v>
      </c>
      <c r="B6" s="103">
        <v>230105</v>
      </c>
      <c r="C6" s="104">
        <v>1363.75</v>
      </c>
      <c r="D6" s="104">
        <v>106.5</v>
      </c>
      <c r="E6" s="104">
        <v>0</v>
      </c>
      <c r="F6" s="104">
        <f t="shared" si="0"/>
        <v>1470.25</v>
      </c>
    </row>
    <row r="7" spans="1:6">
      <c r="A7" s="102" t="s">
        <v>172</v>
      </c>
      <c r="B7" s="103">
        <v>230106</v>
      </c>
      <c r="C7" s="104">
        <v>1636.32</v>
      </c>
      <c r="D7" s="104">
        <v>127.8</v>
      </c>
      <c r="E7" s="104">
        <v>0</v>
      </c>
      <c r="F7" s="104">
        <f t="shared" si="0"/>
        <v>1764.12</v>
      </c>
    </row>
    <row r="8" spans="1:6">
      <c r="A8" s="102" t="s">
        <v>53</v>
      </c>
      <c r="B8" s="103" t="s">
        <v>5</v>
      </c>
      <c r="C8" s="104">
        <v>847654.07</v>
      </c>
      <c r="D8" s="104">
        <v>2412.19</v>
      </c>
      <c r="E8" s="104">
        <v>0</v>
      </c>
      <c r="F8" s="104">
        <f t="shared" si="0"/>
        <v>850066.25999999989</v>
      </c>
    </row>
    <row r="9" spans="1:6">
      <c r="A9" s="102" t="s">
        <v>392</v>
      </c>
      <c r="B9" s="102"/>
      <c r="C9" s="104"/>
      <c r="D9" s="104"/>
      <c r="E9" s="104"/>
      <c r="F9" s="104">
        <f t="shared" si="0"/>
        <v>0</v>
      </c>
    </row>
    <row r="10" spans="1:6">
      <c r="A10" s="102" t="s">
        <v>393</v>
      </c>
      <c r="B10" s="102"/>
      <c r="C10" s="104"/>
      <c r="D10" s="102"/>
      <c r="E10" s="102"/>
      <c r="F10" s="102"/>
    </row>
    <row r="11" spans="1:6">
      <c r="A11" s="102"/>
      <c r="B11" s="102"/>
      <c r="C11" s="104"/>
      <c r="D11" s="102"/>
      <c r="E11" s="102"/>
      <c r="F11" s="102"/>
    </row>
    <row r="12" spans="1:6" ht="24" thickBot="1">
      <c r="A12" s="105" t="s">
        <v>54</v>
      </c>
      <c r="B12" s="106"/>
      <c r="C12" s="107">
        <f>SUM(C4:C11)</f>
        <v>1150130.83</v>
      </c>
      <c r="D12" s="107">
        <f>SUM(D4:D11)</f>
        <v>4718.32</v>
      </c>
      <c r="E12" s="107">
        <f>SUM(E4:E11)</f>
        <v>17276.690000000002</v>
      </c>
      <c r="F12" s="107">
        <f>SUM(F4:F11)</f>
        <v>1137572.46</v>
      </c>
    </row>
    <row r="13" spans="1:6" ht="24" thickTop="1"/>
    <row r="15" spans="1:6">
      <c r="A15" s="495" t="s">
        <v>76</v>
      </c>
      <c r="B15" s="495"/>
      <c r="C15" s="495"/>
      <c r="D15" s="495"/>
      <c r="E15" s="495"/>
      <c r="F15" s="495"/>
    </row>
    <row r="16" spans="1:6">
      <c r="A16" s="495" t="s">
        <v>422</v>
      </c>
      <c r="B16" s="495"/>
      <c r="C16" s="495"/>
      <c r="D16" s="495"/>
      <c r="E16" s="495"/>
      <c r="F16" s="495"/>
    </row>
    <row r="17" spans="1:6">
      <c r="A17" s="108" t="s">
        <v>46</v>
      </c>
      <c r="B17" s="108" t="s">
        <v>2</v>
      </c>
      <c r="C17" s="108" t="s">
        <v>55</v>
      </c>
      <c r="D17" s="108" t="s">
        <v>383</v>
      </c>
      <c r="E17" s="108" t="s">
        <v>67</v>
      </c>
      <c r="F17" s="108" t="s">
        <v>49</v>
      </c>
    </row>
    <row r="18" spans="1:6">
      <c r="A18" s="358" t="s">
        <v>280</v>
      </c>
      <c r="B18" s="103"/>
      <c r="C18" s="104">
        <v>0</v>
      </c>
      <c r="D18" s="104">
        <f>3052200+3052200</f>
        <v>6104400</v>
      </c>
      <c r="E18" s="104">
        <f>1526100+502900+521000+502200+497600</f>
        <v>3549800</v>
      </c>
      <c r="F18" s="104">
        <f t="shared" ref="F18:F24" si="1">C18+D18-E18</f>
        <v>2554600</v>
      </c>
    </row>
    <row r="19" spans="1:6">
      <c r="A19" s="358" t="s">
        <v>281</v>
      </c>
      <c r="B19" s="103"/>
      <c r="C19" s="104">
        <v>0</v>
      </c>
      <c r="D19" s="104">
        <f>330000+330000</f>
        <v>660000</v>
      </c>
      <c r="E19" s="104">
        <f>165000+55000+55000+55000+55000</f>
        <v>385000</v>
      </c>
      <c r="F19" s="104">
        <f t="shared" si="1"/>
        <v>275000</v>
      </c>
    </row>
    <row r="20" spans="1:6">
      <c r="A20" s="358" t="s">
        <v>282</v>
      </c>
      <c r="B20" s="103"/>
      <c r="C20" s="104">
        <v>0</v>
      </c>
      <c r="D20" s="104">
        <f>144150+28830</f>
        <v>172980</v>
      </c>
      <c r="E20" s="104">
        <f>86490+57660+28830</f>
        <v>172980</v>
      </c>
      <c r="F20" s="104">
        <f t="shared" si="1"/>
        <v>0</v>
      </c>
    </row>
    <row r="21" spans="1:6">
      <c r="A21" s="358" t="s">
        <v>372</v>
      </c>
      <c r="B21" s="103"/>
      <c r="C21" s="104">
        <v>0</v>
      </c>
      <c r="D21" s="104">
        <f>80850+16170</f>
        <v>97020</v>
      </c>
      <c r="E21" s="104">
        <f>48510+32340+16170</f>
        <v>97020</v>
      </c>
      <c r="F21" s="104">
        <f t="shared" si="1"/>
        <v>0</v>
      </c>
    </row>
    <row r="22" spans="1:6">
      <c r="A22" s="358" t="s">
        <v>373</v>
      </c>
      <c r="B22" s="103"/>
      <c r="C22" s="104">
        <v>0</v>
      </c>
      <c r="D22" s="104">
        <f>267700+61324</f>
        <v>329024</v>
      </c>
      <c r="E22" s="104">
        <f>160620+107080+53540</f>
        <v>321240</v>
      </c>
      <c r="F22" s="104">
        <f t="shared" si="1"/>
        <v>7784</v>
      </c>
    </row>
    <row r="23" spans="1:6">
      <c r="A23" s="358" t="s">
        <v>374</v>
      </c>
      <c r="B23" s="102"/>
      <c r="C23" s="104">
        <v>0</v>
      </c>
      <c r="D23" s="104">
        <f>32300+12676</f>
        <v>44976</v>
      </c>
      <c r="E23" s="104">
        <f>19380+12920+6460</f>
        <v>38760</v>
      </c>
      <c r="F23" s="104">
        <f t="shared" si="1"/>
        <v>6216</v>
      </c>
    </row>
    <row r="24" spans="1:6">
      <c r="A24" s="358" t="s">
        <v>375</v>
      </c>
      <c r="B24" s="102"/>
      <c r="C24" s="104">
        <v>0</v>
      </c>
      <c r="D24" s="104">
        <f>9900+2250</f>
        <v>12150</v>
      </c>
      <c r="E24" s="104">
        <f>5400+2250+2250+2250</f>
        <v>12150</v>
      </c>
      <c r="F24" s="104">
        <f t="shared" si="1"/>
        <v>0</v>
      </c>
    </row>
    <row r="25" spans="1:6">
      <c r="A25" s="358" t="s">
        <v>376</v>
      </c>
      <c r="B25" s="102"/>
      <c r="C25" s="104">
        <v>0</v>
      </c>
      <c r="D25" s="104"/>
      <c r="E25" s="104"/>
      <c r="F25" s="104"/>
    </row>
    <row r="26" spans="1:6">
      <c r="A26" s="358"/>
      <c r="B26" s="102"/>
      <c r="C26" s="104"/>
      <c r="D26" s="104"/>
      <c r="E26" s="104"/>
      <c r="F26" s="104"/>
    </row>
    <row r="27" spans="1:6">
      <c r="A27" s="358"/>
      <c r="B27" s="102"/>
      <c r="C27" s="104"/>
      <c r="D27" s="104"/>
      <c r="E27" s="104"/>
      <c r="F27" s="104"/>
    </row>
    <row r="28" spans="1:6">
      <c r="A28" s="358"/>
      <c r="B28" s="102"/>
      <c r="C28" s="104"/>
      <c r="D28" s="104"/>
      <c r="E28" s="104"/>
      <c r="F28" s="104"/>
    </row>
    <row r="29" spans="1:6">
      <c r="A29" s="358"/>
      <c r="B29" s="102"/>
      <c r="C29" s="104"/>
      <c r="D29" s="104"/>
      <c r="E29" s="104"/>
      <c r="F29" s="104"/>
    </row>
    <row r="30" spans="1:6">
      <c r="A30" s="358"/>
      <c r="B30" s="102"/>
      <c r="C30" s="104"/>
      <c r="D30" s="104"/>
      <c r="E30" s="104"/>
      <c r="F30" s="104"/>
    </row>
    <row r="31" spans="1:6" ht="24" thickBot="1">
      <c r="A31" s="105" t="s">
        <v>54</v>
      </c>
      <c r="B31" s="106"/>
      <c r="C31" s="107">
        <v>0</v>
      </c>
      <c r="D31" s="107">
        <f>SUM(D18:D30)</f>
        <v>7420550</v>
      </c>
      <c r="E31" s="107">
        <f>SUM(E18:E30)</f>
        <v>4576950</v>
      </c>
      <c r="F31" s="107">
        <f>SUM(F18:F30)</f>
        <v>2843600</v>
      </c>
    </row>
    <row r="32" spans="1:6" ht="24" thickTop="1"/>
  </sheetData>
  <mergeCells count="4">
    <mergeCell ref="A1:F1"/>
    <mergeCell ref="A2:F2"/>
    <mergeCell ref="A15:F15"/>
    <mergeCell ref="A16:F16"/>
  </mergeCells>
  <pageMargins left="0.75" right="0.75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1"/>
  <sheetViews>
    <sheetView topLeftCell="A31" workbookViewId="0">
      <selection activeCell="D58" sqref="D58"/>
    </sheetView>
  </sheetViews>
  <sheetFormatPr defaultColWidth="9.109375" defaultRowHeight="21"/>
  <cols>
    <col min="1" max="1" width="9.109375" style="169"/>
    <col min="2" max="2" width="32" style="169" customWidth="1"/>
    <col min="3" max="4" width="14.44140625" style="169" bestFit="1" customWidth="1"/>
    <col min="5" max="5" width="9.109375" style="169"/>
    <col min="6" max="6" width="14.44140625" style="169" bestFit="1" customWidth="1"/>
    <col min="7" max="7" width="9.109375" style="169"/>
    <col min="8" max="8" width="11" style="169" bestFit="1" customWidth="1"/>
    <col min="9" max="16384" width="9.109375" style="169"/>
  </cols>
  <sheetData>
    <row r="1" spans="1:8" ht="22.8">
      <c r="A1" s="496" t="s">
        <v>290</v>
      </c>
      <c r="B1" s="496"/>
      <c r="C1" s="496"/>
      <c r="D1" s="496"/>
      <c r="E1" s="496"/>
      <c r="F1" s="496"/>
    </row>
    <row r="2" spans="1:8" ht="22.8">
      <c r="A2" s="496" t="s">
        <v>241</v>
      </c>
      <c r="B2" s="496"/>
      <c r="C2" s="496"/>
      <c r="D2" s="496"/>
      <c r="E2" s="496"/>
      <c r="F2" s="496"/>
    </row>
    <row r="3" spans="1:8" ht="22.8">
      <c r="A3" s="496" t="s">
        <v>423</v>
      </c>
      <c r="B3" s="496"/>
      <c r="C3" s="496"/>
      <c r="D3" s="496"/>
      <c r="E3" s="496"/>
      <c r="F3" s="496"/>
    </row>
    <row r="4" spans="1:8" ht="22.8">
      <c r="A4" s="170" t="s">
        <v>242</v>
      </c>
      <c r="B4" s="170"/>
      <c r="C4" s="171"/>
      <c r="D4" s="171"/>
      <c r="E4" s="171"/>
      <c r="F4" s="172"/>
    </row>
    <row r="5" spans="1:8">
      <c r="A5" s="497" t="s">
        <v>71</v>
      </c>
      <c r="B5" s="498"/>
      <c r="C5" s="501" t="s">
        <v>69</v>
      </c>
      <c r="D5" s="501" t="s">
        <v>243</v>
      </c>
      <c r="E5" s="173" t="s">
        <v>244</v>
      </c>
      <c r="F5" s="173" t="s">
        <v>245</v>
      </c>
    </row>
    <row r="6" spans="1:8">
      <c r="A6" s="499"/>
      <c r="B6" s="500"/>
      <c r="C6" s="502"/>
      <c r="D6" s="502"/>
      <c r="E6" s="174" t="s">
        <v>246</v>
      </c>
      <c r="F6" s="174" t="s">
        <v>247</v>
      </c>
    </row>
    <row r="7" spans="1:8" s="179" customFormat="1" ht="20.399999999999999">
      <c r="A7" s="175" t="s">
        <v>248</v>
      </c>
      <c r="B7" s="176"/>
      <c r="C7" s="177">
        <f>C8+C12+C23+C26+C29+C33</f>
        <v>1108200</v>
      </c>
      <c r="D7" s="177">
        <f>D8+D12+D23+D26+D29+D33</f>
        <v>649603.66</v>
      </c>
      <c r="E7" s="178" t="s">
        <v>5</v>
      </c>
      <c r="F7" s="177">
        <f>C7-D7</f>
        <v>458596.33999999997</v>
      </c>
    </row>
    <row r="8" spans="1:8">
      <c r="A8" s="180" t="s">
        <v>126</v>
      </c>
      <c r="B8" s="181"/>
      <c r="C8" s="182">
        <f>SUM(C9:C11)</f>
        <v>217000</v>
      </c>
      <c r="D8" s="182">
        <f>D9+D10+D11</f>
        <v>154463.51</v>
      </c>
      <c r="E8" s="183" t="s">
        <v>5</v>
      </c>
      <c r="F8" s="184">
        <f t="shared" ref="F8:F56" si="0">C8-D8</f>
        <v>62536.489999999991</v>
      </c>
      <c r="H8" s="185"/>
    </row>
    <row r="9" spans="1:8">
      <c r="A9" s="186"/>
      <c r="B9" s="187" t="s">
        <v>249</v>
      </c>
      <c r="C9" s="188">
        <v>42000</v>
      </c>
      <c r="D9" s="188">
        <f>20506+16330+1894</f>
        <v>38730</v>
      </c>
      <c r="E9" s="189" t="s">
        <v>5</v>
      </c>
      <c r="F9" s="190">
        <f t="shared" si="0"/>
        <v>3270</v>
      </c>
    </row>
    <row r="10" spans="1:8">
      <c r="A10" s="186"/>
      <c r="B10" s="187" t="s">
        <v>250</v>
      </c>
      <c r="C10" s="188">
        <v>170000</v>
      </c>
      <c r="D10" s="188">
        <f>2274.84+2320.23+71.2+24370.51+17778.36+25317.74+40860.63</f>
        <v>112993.51000000001</v>
      </c>
      <c r="E10" s="189" t="s">
        <v>5</v>
      </c>
      <c r="F10" s="190">
        <f t="shared" si="0"/>
        <v>57006.489999999991</v>
      </c>
    </row>
    <row r="11" spans="1:8">
      <c r="A11" s="186"/>
      <c r="B11" s="187" t="s">
        <v>251</v>
      </c>
      <c r="C11" s="188">
        <v>5000</v>
      </c>
      <c r="D11" s="188">
        <v>2740</v>
      </c>
      <c r="E11" s="191" t="s">
        <v>5</v>
      </c>
      <c r="F11" s="190">
        <f t="shared" si="0"/>
        <v>2260</v>
      </c>
    </row>
    <row r="12" spans="1:8">
      <c r="A12" s="180" t="s">
        <v>125</v>
      </c>
      <c r="B12" s="187"/>
      <c r="C12" s="182">
        <f>SUM(C13:C22)</f>
        <v>51200</v>
      </c>
      <c r="D12" s="182">
        <f>SUM(D13:D21)</f>
        <v>3286</v>
      </c>
      <c r="E12" s="183" t="s">
        <v>5</v>
      </c>
      <c r="F12" s="184">
        <f t="shared" si="0"/>
        <v>47914</v>
      </c>
    </row>
    <row r="13" spans="1:8">
      <c r="A13" s="186"/>
      <c r="B13" s="187" t="s">
        <v>252</v>
      </c>
      <c r="C13" s="188">
        <v>0</v>
      </c>
      <c r="D13" s="192">
        <v>0</v>
      </c>
      <c r="E13" s="189" t="s">
        <v>5</v>
      </c>
      <c r="F13" s="190">
        <f t="shared" si="0"/>
        <v>0</v>
      </c>
    </row>
    <row r="14" spans="1:8">
      <c r="A14" s="186"/>
      <c r="B14" s="187" t="s">
        <v>253</v>
      </c>
      <c r="C14" s="188">
        <v>200</v>
      </c>
      <c r="D14" s="192">
        <f>120+100+50+100+50</f>
        <v>420</v>
      </c>
      <c r="E14" s="189" t="s">
        <v>5</v>
      </c>
      <c r="F14" s="190">
        <f t="shared" si="0"/>
        <v>-220</v>
      </c>
    </row>
    <row r="15" spans="1:8">
      <c r="A15" s="186"/>
      <c r="B15" s="187" t="s">
        <v>254</v>
      </c>
      <c r="C15" s="188">
        <v>0</v>
      </c>
      <c r="D15" s="192">
        <v>0</v>
      </c>
      <c r="E15" s="189" t="s">
        <v>5</v>
      </c>
      <c r="F15" s="190">
        <f t="shared" si="0"/>
        <v>0</v>
      </c>
    </row>
    <row r="16" spans="1:8">
      <c r="A16" s="186"/>
      <c r="B16" s="187" t="s">
        <v>255</v>
      </c>
      <c r="C16" s="188">
        <v>1000</v>
      </c>
      <c r="D16" s="192">
        <f>1800</f>
        <v>1800</v>
      </c>
      <c r="E16" s="189" t="s">
        <v>5</v>
      </c>
      <c r="F16" s="190">
        <f t="shared" si="0"/>
        <v>-800</v>
      </c>
    </row>
    <row r="17" spans="1:6">
      <c r="A17" s="186"/>
      <c r="B17" s="193" t="s">
        <v>256</v>
      </c>
      <c r="C17" s="188">
        <v>0</v>
      </c>
      <c r="D17" s="192">
        <v>0</v>
      </c>
      <c r="E17" s="189" t="s">
        <v>5</v>
      </c>
      <c r="F17" s="190">
        <f t="shared" si="0"/>
        <v>0</v>
      </c>
    </row>
    <row r="18" spans="1:6">
      <c r="A18" s="186"/>
      <c r="B18" s="193" t="s">
        <v>257</v>
      </c>
      <c r="C18" s="188">
        <v>50000</v>
      </c>
      <c r="D18" s="192">
        <v>996</v>
      </c>
      <c r="E18" s="189" t="s">
        <v>5</v>
      </c>
      <c r="F18" s="190">
        <f t="shared" si="0"/>
        <v>49004</v>
      </c>
    </row>
    <row r="19" spans="1:6">
      <c r="A19" s="186"/>
      <c r="B19" s="193" t="s">
        <v>258</v>
      </c>
      <c r="C19" s="188">
        <v>0</v>
      </c>
      <c r="D19" s="192">
        <v>0</v>
      </c>
      <c r="E19" s="189" t="s">
        <v>5</v>
      </c>
      <c r="F19" s="190">
        <f t="shared" si="0"/>
        <v>0</v>
      </c>
    </row>
    <row r="20" spans="1:6">
      <c r="A20" s="186"/>
      <c r="B20" s="193" t="s">
        <v>259</v>
      </c>
      <c r="C20" s="188">
        <v>0</v>
      </c>
      <c r="D20" s="192">
        <v>0</v>
      </c>
      <c r="E20" s="189" t="s">
        <v>5</v>
      </c>
      <c r="F20" s="190">
        <f t="shared" si="0"/>
        <v>0</v>
      </c>
    </row>
    <row r="21" spans="1:6">
      <c r="A21" s="186"/>
      <c r="B21" s="193" t="s">
        <v>260</v>
      </c>
      <c r="C21" s="188">
        <v>0</v>
      </c>
      <c r="D21" s="192">
        <v>70</v>
      </c>
      <c r="E21" s="189" t="s">
        <v>5</v>
      </c>
      <c r="F21" s="190">
        <f t="shared" si="0"/>
        <v>-70</v>
      </c>
    </row>
    <row r="22" spans="1:6">
      <c r="A22" s="186"/>
      <c r="B22" s="193"/>
      <c r="C22" s="188"/>
      <c r="D22" s="192"/>
      <c r="E22" s="191"/>
      <c r="F22" s="194">
        <f t="shared" si="0"/>
        <v>0</v>
      </c>
    </row>
    <row r="23" spans="1:6">
      <c r="A23" s="195" t="s">
        <v>124</v>
      </c>
      <c r="B23" s="196"/>
      <c r="C23" s="182">
        <f>SUM(C24:C24)</f>
        <v>160000</v>
      </c>
      <c r="D23" s="182">
        <f>SUM(D24:D24)</f>
        <v>74676.150000000009</v>
      </c>
      <c r="E23" s="183" t="s">
        <v>5</v>
      </c>
      <c r="F23" s="184">
        <f t="shared" si="0"/>
        <v>85323.849999999991</v>
      </c>
    </row>
    <row r="24" spans="1:6">
      <c r="A24" s="186"/>
      <c r="B24" s="193" t="s">
        <v>261</v>
      </c>
      <c r="C24" s="188">
        <v>160000</v>
      </c>
      <c r="D24" s="192">
        <f>18843.08+8352.82+21688.98+25791.27</f>
        <v>74676.150000000009</v>
      </c>
      <c r="E24" s="189" t="s">
        <v>5</v>
      </c>
      <c r="F24" s="190">
        <f t="shared" si="0"/>
        <v>85323.849999999991</v>
      </c>
    </row>
    <row r="25" spans="1:6">
      <c r="A25" s="186"/>
      <c r="B25" s="193"/>
      <c r="C25" s="188"/>
      <c r="D25" s="192"/>
      <c r="E25" s="359"/>
      <c r="F25" s="190">
        <f t="shared" si="0"/>
        <v>0</v>
      </c>
    </row>
    <row r="26" spans="1:6">
      <c r="A26" s="180" t="s">
        <v>123</v>
      </c>
      <c r="B26" s="196"/>
      <c r="C26" s="182">
        <f>SUM(C27)</f>
        <v>600000</v>
      </c>
      <c r="D26" s="197">
        <f>D27</f>
        <v>362540</v>
      </c>
      <c r="E26" s="359" t="s">
        <v>5</v>
      </c>
      <c r="F26" s="184">
        <f t="shared" si="0"/>
        <v>237460</v>
      </c>
    </row>
    <row r="27" spans="1:6">
      <c r="A27" s="186"/>
      <c r="B27" s="187" t="s">
        <v>262</v>
      </c>
      <c r="C27" s="188">
        <v>600000</v>
      </c>
      <c r="D27" s="192">
        <f>48630+48855+66955+44025+53890+53620+46565</f>
        <v>362540</v>
      </c>
      <c r="E27" s="189" t="s">
        <v>5</v>
      </c>
      <c r="F27" s="198">
        <f t="shared" si="0"/>
        <v>237460</v>
      </c>
    </row>
    <row r="28" spans="1:6">
      <c r="A28" s="186"/>
      <c r="B28" s="193"/>
      <c r="C28" s="188"/>
      <c r="D28" s="192"/>
      <c r="E28" s="191"/>
      <c r="F28" s="190"/>
    </row>
    <row r="29" spans="1:6">
      <c r="A29" s="180" t="s">
        <v>122</v>
      </c>
      <c r="B29" s="196"/>
      <c r="C29" s="182">
        <f>SUM(C30:C31)</f>
        <v>80000</v>
      </c>
      <c r="D29" s="197">
        <f>D30+D31</f>
        <v>54638</v>
      </c>
      <c r="E29" s="183" t="s">
        <v>5</v>
      </c>
      <c r="F29" s="198">
        <f t="shared" si="0"/>
        <v>25362</v>
      </c>
    </row>
    <row r="30" spans="1:6">
      <c r="A30" s="186"/>
      <c r="B30" s="187" t="s">
        <v>263</v>
      </c>
      <c r="C30" s="188">
        <v>60000</v>
      </c>
      <c r="D30" s="192">
        <f>23500+20500</f>
        <v>44000</v>
      </c>
      <c r="E30" s="189" t="s">
        <v>5</v>
      </c>
      <c r="F30" s="198">
        <f t="shared" si="0"/>
        <v>16000</v>
      </c>
    </row>
    <row r="31" spans="1:6">
      <c r="A31" s="186"/>
      <c r="B31" s="187" t="s">
        <v>264</v>
      </c>
      <c r="C31" s="188">
        <v>20000</v>
      </c>
      <c r="D31" s="192">
        <f>3288+2450+4900</f>
        <v>10638</v>
      </c>
      <c r="E31" s="189" t="s">
        <v>5</v>
      </c>
      <c r="F31" s="190">
        <f t="shared" si="0"/>
        <v>9362</v>
      </c>
    </row>
    <row r="32" spans="1:6">
      <c r="A32" s="186"/>
      <c r="B32" s="187"/>
      <c r="C32" s="188"/>
      <c r="D32" s="192"/>
      <c r="E32" s="189"/>
      <c r="F32" s="190"/>
    </row>
    <row r="33" spans="1:6">
      <c r="A33" s="180" t="s">
        <v>265</v>
      </c>
      <c r="B33" s="196"/>
      <c r="C33" s="182">
        <f>SUM(C34)</f>
        <v>0</v>
      </c>
      <c r="D33" s="197">
        <f>D34</f>
        <v>0</v>
      </c>
      <c r="E33" s="183" t="s">
        <v>5</v>
      </c>
      <c r="F33" s="198">
        <f>C33-D33</f>
        <v>0</v>
      </c>
    </row>
    <row r="34" spans="1:6">
      <c r="A34" s="186"/>
      <c r="B34" s="187" t="s">
        <v>266</v>
      </c>
      <c r="C34" s="188">
        <v>0</v>
      </c>
      <c r="D34" s="192">
        <v>0</v>
      </c>
      <c r="E34" s="189" t="s">
        <v>5</v>
      </c>
      <c r="F34" s="198">
        <f>C34-D34</f>
        <v>0</v>
      </c>
    </row>
    <row r="35" spans="1:6">
      <c r="A35" s="186"/>
      <c r="B35" s="187"/>
      <c r="C35" s="188"/>
      <c r="D35" s="192"/>
      <c r="E35" s="189"/>
      <c r="F35" s="190"/>
    </row>
    <row r="36" spans="1:6">
      <c r="A36" s="186"/>
      <c r="B36" s="187"/>
      <c r="C36" s="188"/>
      <c r="D36" s="192"/>
      <c r="E36" s="189"/>
      <c r="F36" s="190"/>
    </row>
    <row r="37" spans="1:6">
      <c r="A37" s="186"/>
      <c r="B37" s="187"/>
      <c r="C37" s="188"/>
      <c r="D37" s="192"/>
      <c r="E37" s="189"/>
      <c r="F37" s="190"/>
    </row>
    <row r="38" spans="1:6">
      <c r="A38" s="186"/>
      <c r="B38" s="187"/>
      <c r="C38" s="188"/>
      <c r="D38" s="192"/>
      <c r="E38" s="189"/>
      <c r="F38" s="190"/>
    </row>
    <row r="39" spans="1:6">
      <c r="A39" s="186"/>
      <c r="B39" s="187"/>
      <c r="C39" s="188"/>
      <c r="D39" s="192"/>
      <c r="E39" s="189"/>
      <c r="F39" s="190"/>
    </row>
    <row r="40" spans="1:6">
      <c r="A40" s="186"/>
      <c r="B40" s="187"/>
      <c r="C40" s="188"/>
      <c r="D40" s="192"/>
      <c r="E40" s="189"/>
      <c r="F40" s="190"/>
    </row>
    <row r="41" spans="1:6">
      <c r="A41" s="325"/>
      <c r="B41" s="326"/>
      <c r="C41" s="327"/>
      <c r="D41" s="328"/>
      <c r="E41" s="329"/>
      <c r="F41" s="206"/>
    </row>
    <row r="42" spans="1:6" s="179" customFormat="1" ht="20.399999999999999">
      <c r="A42" s="175" t="s">
        <v>267</v>
      </c>
      <c r="B42" s="176"/>
      <c r="C42" s="204"/>
      <c r="D42" s="204"/>
      <c r="E42" s="330"/>
      <c r="F42" s="177"/>
    </row>
    <row r="43" spans="1:6" s="179" customFormat="1">
      <c r="A43" s="202" t="s">
        <v>121</v>
      </c>
      <c r="B43" s="203"/>
      <c r="C43" s="204">
        <f>SUM(C44:C52)</f>
        <v>13102500</v>
      </c>
      <c r="D43" s="204">
        <f>SUM(D44:D54)</f>
        <v>9375532.9500000011</v>
      </c>
      <c r="E43" s="205" t="s">
        <v>5</v>
      </c>
      <c r="F43" s="184">
        <f t="shared" si="0"/>
        <v>3726967.0499999989</v>
      </c>
    </row>
    <row r="44" spans="1:6">
      <c r="A44" s="186"/>
      <c r="B44" s="187" t="s">
        <v>268</v>
      </c>
      <c r="C44" s="188">
        <v>5910000</v>
      </c>
      <c r="D44" s="188">
        <f>578035.76+580923.2+1833994.94+1423856.97+1400161.78</f>
        <v>5816972.6500000004</v>
      </c>
      <c r="E44" s="189" t="s">
        <v>5</v>
      </c>
      <c r="F44" s="190">
        <f t="shared" si="0"/>
        <v>93027.349999999627</v>
      </c>
    </row>
    <row r="45" spans="1:6">
      <c r="A45" s="186"/>
      <c r="B45" s="187" t="s">
        <v>269</v>
      </c>
      <c r="C45" s="188">
        <v>2800000</v>
      </c>
      <c r="D45" s="188">
        <f>246114.13+324503.8+223617.44+299243.08+349832.79</f>
        <v>1443311.24</v>
      </c>
      <c r="E45" s="189" t="s">
        <v>5</v>
      </c>
      <c r="F45" s="190">
        <f t="shared" si="0"/>
        <v>1356688.76</v>
      </c>
    </row>
    <row r="46" spans="1:6">
      <c r="A46" s="186"/>
      <c r="B46" s="187" t="s">
        <v>270</v>
      </c>
      <c r="C46" s="188">
        <v>110000</v>
      </c>
      <c r="D46" s="188">
        <f>33823.8+34512.14</f>
        <v>68335.94</v>
      </c>
      <c r="E46" s="189" t="s">
        <v>5</v>
      </c>
      <c r="F46" s="190">
        <f t="shared" si="0"/>
        <v>41664.06</v>
      </c>
    </row>
    <row r="47" spans="1:6">
      <c r="A47" s="186"/>
      <c r="B47" s="187" t="s">
        <v>271</v>
      </c>
      <c r="C47" s="188">
        <v>1350000</v>
      </c>
      <c r="D47" s="188">
        <f>87872.64+184707.69+150849.45+201261.21+145298.15</f>
        <v>769989.14</v>
      </c>
      <c r="E47" s="189" t="s">
        <v>5</v>
      </c>
      <c r="F47" s="190">
        <f t="shared" si="0"/>
        <v>580010.86</v>
      </c>
    </row>
    <row r="48" spans="1:6">
      <c r="A48" s="186" t="s">
        <v>272</v>
      </c>
      <c r="B48" s="187" t="s">
        <v>273</v>
      </c>
      <c r="C48" s="188">
        <v>2490000</v>
      </c>
      <c r="D48" s="188">
        <f>197152.87+200988.15+183760.73+228649.48+207533.26</f>
        <v>1018084.49</v>
      </c>
      <c r="E48" s="189" t="s">
        <v>5</v>
      </c>
      <c r="F48" s="190">
        <f t="shared" si="0"/>
        <v>1471915.51</v>
      </c>
    </row>
    <row r="49" spans="1:7">
      <c r="A49" s="186"/>
      <c r="B49" s="187" t="s">
        <v>274</v>
      </c>
      <c r="C49" s="188">
        <v>60000</v>
      </c>
      <c r="D49" s="188">
        <v>0</v>
      </c>
      <c r="E49" s="189" t="s">
        <v>5</v>
      </c>
      <c r="F49" s="190">
        <f t="shared" si="0"/>
        <v>60000</v>
      </c>
    </row>
    <row r="50" spans="1:7">
      <c r="A50" s="186"/>
      <c r="B50" s="187" t="s">
        <v>275</v>
      </c>
      <c r="C50" s="188">
        <v>180000</v>
      </c>
      <c r="D50" s="188">
        <f>65223.02+27564.47</f>
        <v>92787.489999999991</v>
      </c>
      <c r="E50" s="189" t="s">
        <v>5</v>
      </c>
      <c r="F50" s="190">
        <f t="shared" si="0"/>
        <v>87212.510000000009</v>
      </c>
    </row>
    <row r="51" spans="1:7">
      <c r="A51" s="186"/>
      <c r="B51" s="187" t="s">
        <v>276</v>
      </c>
      <c r="C51" s="188">
        <v>200000</v>
      </c>
      <c r="D51" s="188">
        <f>20023+48740+19162+19990+58027</f>
        <v>165942</v>
      </c>
      <c r="E51" s="189" t="s">
        <v>5</v>
      </c>
      <c r="F51" s="190">
        <f t="shared" si="0"/>
        <v>34058</v>
      </c>
      <c r="G51" s="185"/>
    </row>
    <row r="52" spans="1:7">
      <c r="A52" s="186"/>
      <c r="B52" s="187" t="s">
        <v>369</v>
      </c>
      <c r="C52" s="188">
        <v>2500</v>
      </c>
      <c r="D52" s="188">
        <v>0</v>
      </c>
      <c r="E52" s="189" t="s">
        <v>5</v>
      </c>
      <c r="F52" s="190">
        <f t="shared" si="0"/>
        <v>2500</v>
      </c>
      <c r="G52" s="185"/>
    </row>
    <row r="53" spans="1:7">
      <c r="A53" s="186"/>
      <c r="B53" s="187" t="s">
        <v>407</v>
      </c>
      <c r="C53" s="188">
        <v>0</v>
      </c>
      <c r="D53" s="188">
        <f>7+6</f>
        <v>13</v>
      </c>
      <c r="E53" s="189" t="s">
        <v>5</v>
      </c>
      <c r="F53" s="190">
        <f t="shared" si="0"/>
        <v>-13</v>
      </c>
      <c r="G53" s="185"/>
    </row>
    <row r="54" spans="1:7">
      <c r="A54" s="186"/>
      <c r="B54" s="187" t="s">
        <v>413</v>
      </c>
      <c r="C54" s="188">
        <v>0</v>
      </c>
      <c r="D54" s="188">
        <f>58.2+38.8</f>
        <v>97</v>
      </c>
      <c r="E54" s="189"/>
      <c r="F54" s="206">
        <f t="shared" si="0"/>
        <v>-97</v>
      </c>
      <c r="G54" s="185"/>
    </row>
    <row r="55" spans="1:7" s="179" customFormat="1">
      <c r="A55" s="200" t="s">
        <v>277</v>
      </c>
      <c r="B55" s="201"/>
      <c r="C55" s="207">
        <f>SUM(C56:C68)</f>
        <v>12000000</v>
      </c>
      <c r="D55" s="207">
        <f>SUM(D56)</f>
        <v>12561661</v>
      </c>
      <c r="E55" s="205" t="s">
        <v>411</v>
      </c>
      <c r="F55" s="190">
        <f t="shared" si="0"/>
        <v>-561661</v>
      </c>
    </row>
    <row r="56" spans="1:7">
      <c r="A56" s="186"/>
      <c r="B56" s="187" t="s">
        <v>278</v>
      </c>
      <c r="C56" s="192">
        <v>12000000</v>
      </c>
      <c r="D56" s="199">
        <f>10804861+1756800</f>
        <v>12561661</v>
      </c>
      <c r="E56" s="191" t="s">
        <v>411</v>
      </c>
      <c r="F56" s="198">
        <f t="shared" si="0"/>
        <v>-561661</v>
      </c>
    </row>
    <row r="57" spans="1:7">
      <c r="A57" s="186"/>
      <c r="B57" s="187"/>
      <c r="C57" s="192"/>
      <c r="D57" s="199"/>
      <c r="E57" s="191"/>
      <c r="F57" s="188"/>
    </row>
    <row r="58" spans="1:7">
      <c r="A58" s="200" t="s">
        <v>279</v>
      </c>
      <c r="B58" s="201"/>
      <c r="C58" s="207"/>
      <c r="D58" s="207">
        <f>SUM(D59:D71)</f>
        <v>7420550</v>
      </c>
      <c r="E58" s="205" t="s">
        <v>5</v>
      </c>
      <c r="F58" s="204">
        <v>0</v>
      </c>
    </row>
    <row r="59" spans="1:7">
      <c r="A59" s="200"/>
      <c r="B59" s="187" t="s">
        <v>280</v>
      </c>
      <c r="C59" s="188"/>
      <c r="D59" s="188">
        <f>3052200+3052200</f>
        <v>6104400</v>
      </c>
      <c r="E59" s="191" t="s">
        <v>5</v>
      </c>
      <c r="F59" s="188">
        <f t="shared" ref="F59:F71" si="1">D59</f>
        <v>6104400</v>
      </c>
    </row>
    <row r="60" spans="1:7">
      <c r="A60" s="186"/>
      <c r="B60" s="187" t="s">
        <v>281</v>
      </c>
      <c r="C60" s="188"/>
      <c r="D60" s="188">
        <f>330000+330000</f>
        <v>660000</v>
      </c>
      <c r="E60" s="191" t="s">
        <v>5</v>
      </c>
      <c r="F60" s="188">
        <f t="shared" si="1"/>
        <v>660000</v>
      </c>
    </row>
    <row r="61" spans="1:7">
      <c r="A61" s="186"/>
      <c r="B61" s="187" t="s">
        <v>282</v>
      </c>
      <c r="C61" s="188"/>
      <c r="D61" s="188">
        <f>144150+28830</f>
        <v>172980</v>
      </c>
      <c r="E61" s="191" t="s">
        <v>5</v>
      </c>
      <c r="F61" s="188">
        <f t="shared" si="1"/>
        <v>172980</v>
      </c>
    </row>
    <row r="62" spans="1:7">
      <c r="A62" s="186"/>
      <c r="B62" s="187" t="s">
        <v>372</v>
      </c>
      <c r="C62" s="188"/>
      <c r="D62" s="188">
        <f>80850+16170</f>
        <v>97020</v>
      </c>
      <c r="E62" s="191" t="s">
        <v>5</v>
      </c>
      <c r="F62" s="188">
        <f t="shared" si="1"/>
        <v>97020</v>
      </c>
    </row>
    <row r="63" spans="1:7">
      <c r="A63" s="186"/>
      <c r="B63" s="187" t="s">
        <v>373</v>
      </c>
      <c r="C63" s="188"/>
      <c r="D63" s="188">
        <f>61324+267700</f>
        <v>329024</v>
      </c>
      <c r="E63" s="191" t="s">
        <v>5</v>
      </c>
      <c r="F63" s="188">
        <f t="shared" si="1"/>
        <v>329024</v>
      </c>
    </row>
    <row r="64" spans="1:7">
      <c r="A64" s="186"/>
      <c r="B64" s="187" t="s">
        <v>374</v>
      </c>
      <c r="C64" s="188"/>
      <c r="D64" s="188">
        <f>32300+12676</f>
        <v>44976</v>
      </c>
      <c r="E64" s="191" t="s">
        <v>5</v>
      </c>
      <c r="F64" s="188">
        <f t="shared" si="1"/>
        <v>44976</v>
      </c>
    </row>
    <row r="65" spans="1:8">
      <c r="A65" s="186"/>
      <c r="B65" s="187" t="s">
        <v>375</v>
      </c>
      <c r="C65" s="188"/>
      <c r="D65" s="188">
        <f>9900+2250</f>
        <v>12150</v>
      </c>
      <c r="E65" s="191" t="s">
        <v>5</v>
      </c>
      <c r="F65" s="188">
        <f t="shared" si="1"/>
        <v>12150</v>
      </c>
    </row>
    <row r="66" spans="1:8">
      <c r="A66" s="186"/>
      <c r="B66" s="187" t="s">
        <v>376</v>
      </c>
      <c r="C66" s="188"/>
      <c r="D66" s="188">
        <v>0</v>
      </c>
      <c r="E66" s="191" t="s">
        <v>5</v>
      </c>
      <c r="F66" s="188">
        <f t="shared" si="1"/>
        <v>0</v>
      </c>
    </row>
    <row r="67" spans="1:8">
      <c r="A67" s="186"/>
      <c r="B67" s="187" t="s">
        <v>385</v>
      </c>
      <c r="C67" s="188"/>
      <c r="D67" s="188">
        <v>0</v>
      </c>
      <c r="E67" s="191" t="s">
        <v>5</v>
      </c>
      <c r="F67" s="188">
        <f t="shared" si="1"/>
        <v>0</v>
      </c>
    </row>
    <row r="68" spans="1:8">
      <c r="A68" s="186"/>
      <c r="B68" s="187" t="s">
        <v>382</v>
      </c>
      <c r="C68" s="188"/>
      <c r="D68" s="188">
        <v>0</v>
      </c>
      <c r="E68" s="191" t="s">
        <v>5</v>
      </c>
      <c r="F68" s="188">
        <f t="shared" si="1"/>
        <v>0</v>
      </c>
    </row>
    <row r="69" spans="1:8">
      <c r="A69" s="186"/>
      <c r="B69" s="187" t="s">
        <v>384</v>
      </c>
      <c r="C69" s="188"/>
      <c r="D69" s="188">
        <v>0</v>
      </c>
      <c r="E69" s="191" t="s">
        <v>5</v>
      </c>
      <c r="F69" s="188">
        <f t="shared" si="1"/>
        <v>0</v>
      </c>
    </row>
    <row r="70" spans="1:8">
      <c r="A70" s="186"/>
      <c r="B70" s="187" t="s">
        <v>386</v>
      </c>
      <c r="C70" s="188"/>
      <c r="D70" s="188">
        <v>0</v>
      </c>
      <c r="E70" s="191" t="s">
        <v>5</v>
      </c>
      <c r="F70" s="188">
        <f t="shared" si="1"/>
        <v>0</v>
      </c>
    </row>
    <row r="71" spans="1:8">
      <c r="A71" s="186"/>
      <c r="B71" s="187" t="s">
        <v>389</v>
      </c>
      <c r="C71" s="188"/>
      <c r="D71" s="188">
        <v>0</v>
      </c>
      <c r="E71" s="191"/>
      <c r="F71" s="188">
        <f t="shared" si="1"/>
        <v>0</v>
      </c>
    </row>
    <row r="72" spans="1:8" s="179" customFormat="1" ht="20.399999999999999">
      <c r="A72" s="208" t="s">
        <v>283</v>
      </c>
      <c r="B72" s="209"/>
      <c r="C72" s="207">
        <f>+C7+C43+C55</f>
        <v>26210700</v>
      </c>
      <c r="D72" s="207">
        <f>D7+D43+D55</f>
        <v>22586797.609999999</v>
      </c>
      <c r="E72" s="205" t="s">
        <v>5</v>
      </c>
      <c r="F72" s="204">
        <f>+C72-D72</f>
        <v>3623902.3900000006</v>
      </c>
      <c r="G72" s="210"/>
    </row>
    <row r="73" spans="1:8" s="179" customFormat="1" ht="20.399999999999999">
      <c r="A73" s="211"/>
      <c r="B73" s="212"/>
      <c r="C73" s="213"/>
      <c r="D73" s="213"/>
      <c r="E73" s="214"/>
      <c r="F73" s="215"/>
      <c r="G73" s="210"/>
    </row>
    <row r="74" spans="1:8">
      <c r="A74" s="216"/>
      <c r="B74" s="216"/>
      <c r="C74" s="216"/>
      <c r="D74" s="216"/>
      <c r="E74" s="216"/>
      <c r="F74" s="216"/>
    </row>
    <row r="75" spans="1:8">
      <c r="A75" s="217"/>
      <c r="B75" s="217"/>
      <c r="C75" s="217"/>
      <c r="D75" s="217"/>
      <c r="E75" s="217"/>
      <c r="F75" s="216"/>
    </row>
    <row r="76" spans="1:8">
      <c r="A76" s="217"/>
      <c r="B76" s="217"/>
      <c r="C76" s="217"/>
      <c r="D76" s="217"/>
      <c r="E76" s="217"/>
      <c r="F76" s="216"/>
    </row>
    <row r="77" spans="1:8">
      <c r="D77" s="218"/>
      <c r="F77" s="185"/>
      <c r="H77" s="185"/>
    </row>
    <row r="78" spans="1:8">
      <c r="D78" s="218"/>
      <c r="F78" s="185"/>
    </row>
    <row r="79" spans="1:8">
      <c r="D79" s="218"/>
    </row>
    <row r="80" spans="1:8">
      <c r="D80" s="218"/>
    </row>
    <row r="81" spans="4:4">
      <c r="D81" s="218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opLeftCell="A19" workbookViewId="0">
      <selection activeCell="C28" sqref="C28"/>
    </sheetView>
  </sheetViews>
  <sheetFormatPr defaultRowHeight="15.6"/>
  <cols>
    <col min="1" max="1" width="8.88671875" style="57"/>
    <col min="2" max="2" width="43.44140625" style="57" customWidth="1"/>
    <col min="3" max="3" width="13.109375" style="57" customWidth="1"/>
    <col min="4" max="4" width="12.109375" style="57" customWidth="1"/>
    <col min="5" max="5" width="12.6640625" style="57" customWidth="1"/>
    <col min="6" max="16384" width="8.88671875" style="57"/>
  </cols>
  <sheetData>
    <row r="1" spans="1:8" ht="22.8">
      <c r="A1" s="496" t="s">
        <v>290</v>
      </c>
      <c r="B1" s="496"/>
      <c r="C1" s="496"/>
      <c r="D1" s="496"/>
      <c r="E1" s="496"/>
    </row>
    <row r="2" spans="1:8" ht="22.8">
      <c r="A2" s="496" t="s">
        <v>285</v>
      </c>
      <c r="B2" s="496"/>
      <c r="C2" s="496"/>
      <c r="D2" s="496"/>
      <c r="E2" s="496"/>
    </row>
    <row r="3" spans="1:8" ht="22.8">
      <c r="A3" s="496" t="s">
        <v>424</v>
      </c>
      <c r="B3" s="496"/>
      <c r="C3" s="496"/>
      <c r="D3" s="496"/>
      <c r="E3" s="496"/>
    </row>
    <row r="4" spans="1:8" ht="22.8">
      <c r="A4" s="219" t="s">
        <v>370</v>
      </c>
      <c r="B4" s="220"/>
      <c r="C4" s="220"/>
      <c r="D4" s="220"/>
      <c r="E4" s="220"/>
    </row>
    <row r="5" spans="1:8" ht="22.8">
      <c r="A5" s="219"/>
      <c r="B5" s="220"/>
      <c r="C5" s="220"/>
      <c r="D5" s="220"/>
      <c r="E5" s="220"/>
    </row>
    <row r="6" spans="1:8" ht="28.5" customHeight="1">
      <c r="A6" s="505" t="s">
        <v>286</v>
      </c>
      <c r="B6" s="505" t="s">
        <v>67</v>
      </c>
      <c r="C6" s="505" t="s">
        <v>287</v>
      </c>
      <c r="D6" s="505" t="s">
        <v>288</v>
      </c>
      <c r="E6" s="505" t="s">
        <v>289</v>
      </c>
    </row>
    <row r="7" spans="1:8" ht="38.25" customHeight="1">
      <c r="A7" s="506"/>
      <c r="B7" s="506"/>
      <c r="C7" s="506"/>
      <c r="D7" s="506"/>
      <c r="E7" s="506"/>
    </row>
    <row r="8" spans="1:8" ht="21">
      <c r="A8" s="382">
        <v>1</v>
      </c>
      <c r="B8" s="394" t="s">
        <v>408</v>
      </c>
      <c r="C8" s="384">
        <v>600000</v>
      </c>
      <c r="D8" s="384">
        <v>568806</v>
      </c>
      <c r="E8" s="395">
        <f>C8-D8</f>
        <v>31194</v>
      </c>
    </row>
    <row r="9" spans="1:8" ht="21">
      <c r="A9" s="385"/>
      <c r="B9" s="386"/>
      <c r="C9" s="387"/>
      <c r="D9" s="387"/>
      <c r="E9" s="387"/>
    </row>
    <row r="10" spans="1:8" ht="21">
      <c r="A10" s="388"/>
      <c r="B10" s="386"/>
      <c r="C10" s="387"/>
      <c r="D10" s="387"/>
      <c r="E10" s="387"/>
    </row>
    <row r="11" spans="1:8" ht="21">
      <c r="A11" s="388"/>
      <c r="B11" s="386"/>
      <c r="C11" s="387"/>
      <c r="D11" s="387"/>
      <c r="E11" s="387"/>
    </row>
    <row r="12" spans="1:8" ht="21">
      <c r="A12" s="388"/>
      <c r="B12" s="386"/>
      <c r="C12" s="387"/>
      <c r="D12" s="387"/>
      <c r="E12" s="387"/>
    </row>
    <row r="13" spans="1:8" ht="21">
      <c r="A13" s="388"/>
      <c r="B13" s="386"/>
      <c r="C13" s="387"/>
      <c r="D13" s="387"/>
      <c r="E13" s="387"/>
    </row>
    <row r="14" spans="1:8" ht="21">
      <c r="A14" s="388"/>
      <c r="B14" s="386"/>
      <c r="C14" s="387"/>
      <c r="D14" s="387"/>
      <c r="E14" s="387"/>
      <c r="H14" s="389"/>
    </row>
    <row r="15" spans="1:8" ht="21">
      <c r="A15" s="388"/>
      <c r="B15" s="386"/>
      <c r="C15" s="387"/>
      <c r="D15" s="387"/>
      <c r="E15" s="387"/>
    </row>
    <row r="16" spans="1:8" ht="21">
      <c r="A16" s="388"/>
      <c r="B16" s="386"/>
      <c r="C16" s="387"/>
      <c r="D16" s="387"/>
      <c r="E16" s="387"/>
    </row>
    <row r="17" spans="1:8" ht="21">
      <c r="A17" s="388"/>
      <c r="B17" s="386"/>
      <c r="C17" s="387"/>
      <c r="D17" s="387"/>
      <c r="E17" s="387"/>
    </row>
    <row r="18" spans="1:8" ht="21">
      <c r="A18" s="388"/>
      <c r="B18" s="386"/>
      <c r="C18" s="387"/>
      <c r="D18" s="387"/>
      <c r="E18" s="387"/>
    </row>
    <row r="19" spans="1:8" ht="21">
      <c r="A19" s="388"/>
      <c r="B19" s="386"/>
      <c r="C19" s="387"/>
      <c r="D19" s="387"/>
      <c r="E19" s="387"/>
    </row>
    <row r="20" spans="1:8" ht="21">
      <c r="A20" s="388"/>
      <c r="B20" s="386"/>
      <c r="C20" s="387"/>
      <c r="D20" s="387"/>
      <c r="E20" s="387"/>
    </row>
    <row r="21" spans="1:8" ht="21">
      <c r="A21" s="388"/>
      <c r="B21" s="386"/>
      <c r="C21" s="387"/>
      <c r="D21" s="387"/>
      <c r="E21" s="387"/>
    </row>
    <row r="22" spans="1:8" ht="21">
      <c r="A22" s="388"/>
      <c r="B22" s="386"/>
      <c r="C22" s="387"/>
      <c r="D22" s="387"/>
      <c r="E22" s="387"/>
    </row>
    <row r="23" spans="1:8" ht="21">
      <c r="A23" s="388"/>
      <c r="B23" s="383"/>
      <c r="C23" s="387"/>
      <c r="D23" s="387"/>
      <c r="E23" s="387"/>
    </row>
    <row r="24" spans="1:8" ht="21">
      <c r="A24" s="388"/>
      <c r="B24" s="386"/>
      <c r="C24" s="387"/>
      <c r="D24" s="387"/>
      <c r="E24" s="387"/>
    </row>
    <row r="25" spans="1:8" ht="21">
      <c r="A25" s="388"/>
      <c r="B25" s="386"/>
      <c r="C25" s="387"/>
      <c r="D25" s="387"/>
      <c r="E25" s="387"/>
    </row>
    <row r="26" spans="1:8" ht="21">
      <c r="A26" s="388"/>
      <c r="B26" s="386"/>
      <c r="C26" s="387"/>
      <c r="D26" s="387"/>
      <c r="E26" s="387"/>
    </row>
    <row r="27" spans="1:8" ht="21">
      <c r="A27" s="388"/>
      <c r="B27" s="390"/>
      <c r="C27" s="387"/>
      <c r="D27" s="387"/>
      <c r="E27" s="387"/>
    </row>
    <row r="28" spans="1:8" ht="21">
      <c r="A28" s="388"/>
      <c r="B28" s="386"/>
      <c r="C28" s="387"/>
      <c r="D28" s="387"/>
      <c r="E28" s="387"/>
    </row>
    <row r="29" spans="1:8" ht="21">
      <c r="A29" s="388"/>
      <c r="B29" s="386"/>
      <c r="C29" s="387"/>
      <c r="D29" s="387"/>
      <c r="E29" s="387"/>
    </row>
    <row r="30" spans="1:8" ht="21.6" thickBot="1">
      <c r="A30" s="503" t="s">
        <v>54</v>
      </c>
      <c r="B30" s="504"/>
      <c r="C30" s="391">
        <f>SUM(C8:C14)</f>
        <v>600000</v>
      </c>
      <c r="D30" s="391">
        <f t="shared" ref="D30:E30" si="0">SUM(D8:D14)</f>
        <v>568806</v>
      </c>
      <c r="E30" s="391">
        <f t="shared" si="0"/>
        <v>31194</v>
      </c>
      <c r="G30" s="221"/>
      <c r="H30" s="221"/>
    </row>
    <row r="31" spans="1:8" ht="16.2" thickTop="1"/>
    <row r="33" spans="1:5" ht="21">
      <c r="A33" s="392"/>
      <c r="B33" s="392"/>
      <c r="C33" s="392"/>
      <c r="D33" s="392"/>
      <c r="E33" s="392"/>
    </row>
    <row r="34" spans="1:5" ht="21">
      <c r="A34" s="393"/>
      <c r="B34" s="393"/>
      <c r="C34" s="393"/>
      <c r="D34" s="393"/>
      <c r="E34" s="393"/>
    </row>
    <row r="35" spans="1:5" ht="21">
      <c r="A35" s="393"/>
      <c r="B35" s="393"/>
      <c r="C35" s="393"/>
      <c r="D35" s="393"/>
      <c r="E35" s="393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72"/>
  <sheetViews>
    <sheetView topLeftCell="A28" workbookViewId="0">
      <selection activeCell="F38" sqref="F38:I38"/>
    </sheetView>
  </sheetViews>
  <sheetFormatPr defaultColWidth="9.109375" defaultRowHeight="20.399999999999999"/>
  <cols>
    <col min="1" max="1" width="2.5546875" style="2" customWidth="1"/>
    <col min="2" max="2" width="18.88671875" style="2" customWidth="1"/>
    <col min="3" max="3" width="4" style="2" customWidth="1"/>
    <col min="4" max="4" width="16.44140625" style="2" customWidth="1"/>
    <col min="5" max="5" width="3.33203125" style="2" customWidth="1"/>
    <col min="6" max="6" width="14" style="2" customWidth="1"/>
    <col min="7" max="7" width="1.6640625" style="2" customWidth="1"/>
    <col min="8" max="8" width="5.88671875" style="2" customWidth="1"/>
    <col min="9" max="9" width="15.33203125" style="2" customWidth="1"/>
    <col min="10" max="10" width="3.33203125" style="2" customWidth="1"/>
    <col min="11" max="11" width="11.33203125" style="2" customWidth="1"/>
    <col min="12" max="12" width="14" style="2" bestFit="1" customWidth="1"/>
    <col min="13" max="13" width="9.109375" style="2"/>
    <col min="14" max="14" width="10.33203125" style="2" bestFit="1" customWidth="1"/>
    <col min="15" max="16384" width="9.109375" style="2"/>
  </cols>
  <sheetData>
    <row r="1" spans="1:12" ht="21.75" customHeight="1">
      <c r="A1" s="516" t="s">
        <v>22</v>
      </c>
      <c r="B1" s="517"/>
      <c r="C1" s="517"/>
      <c r="D1" s="517"/>
      <c r="E1" s="517"/>
      <c r="F1" s="517"/>
      <c r="G1" s="518"/>
      <c r="H1" s="516" t="s">
        <v>23</v>
      </c>
      <c r="I1" s="517"/>
      <c r="J1" s="518"/>
      <c r="K1" s="1"/>
    </row>
    <row r="2" spans="1:12" ht="21.75" customHeight="1">
      <c r="A2" s="510" t="s">
        <v>24</v>
      </c>
      <c r="B2" s="511"/>
      <c r="C2" s="511"/>
      <c r="D2" s="511"/>
      <c r="E2" s="511"/>
      <c r="F2" s="511"/>
      <c r="G2" s="512"/>
      <c r="H2" s="513" t="s">
        <v>164</v>
      </c>
      <c r="I2" s="514"/>
      <c r="J2" s="515"/>
    </row>
    <row r="3" spans="1:12" ht="12.75" customHeight="1">
      <c r="A3" s="3"/>
      <c r="B3" s="4"/>
      <c r="C3" s="5"/>
      <c r="D3" s="6"/>
      <c r="E3" s="5"/>
      <c r="F3" s="5"/>
      <c r="G3" s="7"/>
      <c r="H3" s="507" t="s">
        <v>26</v>
      </c>
      <c r="I3" s="508"/>
      <c r="J3" s="509"/>
    </row>
    <row r="4" spans="1:12" ht="18.75" customHeight="1">
      <c r="A4" s="8"/>
      <c r="B4" s="9" t="s">
        <v>378</v>
      </c>
      <c r="C4" s="9"/>
      <c r="D4" s="9"/>
      <c r="E4" s="521" t="s">
        <v>425</v>
      </c>
      <c r="F4" s="521"/>
      <c r="G4" s="10"/>
      <c r="H4" s="11"/>
      <c r="I4" s="12">
        <v>7814415.2400000002</v>
      </c>
      <c r="J4" s="13"/>
    </row>
    <row r="5" spans="1:12" ht="17.25" customHeight="1">
      <c r="A5" s="8"/>
      <c r="B5" s="14" t="s">
        <v>158</v>
      </c>
      <c r="C5" s="9"/>
      <c r="D5" s="9"/>
      <c r="E5" s="9"/>
      <c r="F5" s="9"/>
      <c r="G5" s="10"/>
      <c r="H5" s="8"/>
      <c r="I5" s="9"/>
      <c r="J5" s="10"/>
      <c r="L5" s="27">
        <f>I4+I7</f>
        <v>7814415.2400000002</v>
      </c>
    </row>
    <row r="6" spans="1:12" ht="16.5" customHeight="1">
      <c r="A6" s="8"/>
      <c r="B6" s="15" t="s">
        <v>28</v>
      </c>
      <c r="C6" s="16"/>
      <c r="D6" s="15" t="s">
        <v>29</v>
      </c>
      <c r="E6" s="16"/>
      <c r="F6" s="17" t="s">
        <v>30</v>
      </c>
      <c r="G6" s="10"/>
      <c r="H6" s="8"/>
      <c r="I6" s="9"/>
      <c r="J6" s="10"/>
    </row>
    <row r="7" spans="1:12" ht="8.4" customHeight="1">
      <c r="A7" s="8"/>
      <c r="B7" s="97"/>
      <c r="C7" s="16"/>
      <c r="D7" s="15"/>
      <c r="E7" s="16"/>
      <c r="F7" s="98"/>
      <c r="G7" s="10"/>
      <c r="H7" s="8"/>
      <c r="I7" s="89">
        <f>SUM(F7:F8)</f>
        <v>0</v>
      </c>
      <c r="J7" s="10"/>
    </row>
    <row r="8" spans="1:12" ht="9" customHeight="1">
      <c r="A8" s="8"/>
      <c r="B8" s="97"/>
      <c r="C8" s="16"/>
      <c r="D8" s="15"/>
      <c r="E8" s="16"/>
      <c r="F8" s="98"/>
      <c r="G8" s="10"/>
      <c r="H8" s="8"/>
      <c r="I8" s="9"/>
      <c r="J8" s="10"/>
    </row>
    <row r="9" spans="1:12" ht="24" customHeight="1">
      <c r="A9" s="8"/>
      <c r="B9" s="14" t="s">
        <v>34</v>
      </c>
      <c r="C9" s="9"/>
      <c r="D9" s="9"/>
      <c r="E9" s="9"/>
      <c r="F9" s="9"/>
      <c r="G9" s="10"/>
      <c r="H9" s="8"/>
      <c r="I9" s="9"/>
      <c r="J9" s="10"/>
      <c r="L9" s="90">
        <f>L5-I36</f>
        <v>61234.849999999627</v>
      </c>
    </row>
    <row r="10" spans="1:12" ht="18.899999999999999" customHeight="1">
      <c r="A10" s="8"/>
      <c r="B10" s="111"/>
      <c r="C10" s="9"/>
      <c r="D10" s="111" t="s">
        <v>36</v>
      </c>
      <c r="E10" s="9"/>
      <c r="F10" s="19" t="s">
        <v>30</v>
      </c>
      <c r="G10" s="10"/>
      <c r="H10" s="8"/>
      <c r="I10" s="9"/>
      <c r="J10" s="10"/>
    </row>
    <row r="11" spans="1:12" ht="18.899999999999999" customHeight="1">
      <c r="A11" s="8"/>
      <c r="B11" s="20" t="s">
        <v>415</v>
      </c>
      <c r="C11" s="380" t="s">
        <v>175</v>
      </c>
      <c r="D11" s="20" t="s">
        <v>416</v>
      </c>
      <c r="E11" s="9"/>
      <c r="F11" s="21">
        <v>2574.3000000000002</v>
      </c>
      <c r="G11" s="10"/>
      <c r="H11" s="8"/>
      <c r="I11" s="9"/>
      <c r="J11" s="10"/>
    </row>
    <row r="12" spans="1:12" ht="18.899999999999999" customHeight="1">
      <c r="A12" s="8"/>
      <c r="B12" s="20" t="s">
        <v>415</v>
      </c>
      <c r="C12" s="381" t="s">
        <v>175</v>
      </c>
      <c r="D12" s="20" t="s">
        <v>417</v>
      </c>
      <c r="E12" s="9"/>
      <c r="F12" s="110">
        <v>10000</v>
      </c>
      <c r="G12" s="10"/>
      <c r="H12" s="8"/>
      <c r="I12" s="9"/>
      <c r="J12" s="10"/>
    </row>
    <row r="13" spans="1:12" ht="18.899999999999999" customHeight="1">
      <c r="A13" s="8"/>
      <c r="B13" s="20" t="s">
        <v>426</v>
      </c>
      <c r="C13" s="380" t="s">
        <v>175</v>
      </c>
      <c r="D13" s="20" t="s">
        <v>428</v>
      </c>
      <c r="E13" s="9"/>
      <c r="F13" s="110">
        <v>42309.85</v>
      </c>
      <c r="G13" s="10"/>
      <c r="H13" s="8"/>
      <c r="I13" s="59"/>
      <c r="J13" s="10"/>
    </row>
    <row r="14" spans="1:12" ht="18.899999999999999" customHeight="1">
      <c r="A14" s="8"/>
      <c r="B14" s="20" t="s">
        <v>426</v>
      </c>
      <c r="C14" s="380" t="s">
        <v>175</v>
      </c>
      <c r="D14" s="20" t="s">
        <v>429</v>
      </c>
      <c r="E14" s="9"/>
      <c r="F14" s="110">
        <v>1160.7</v>
      </c>
      <c r="G14" s="10"/>
      <c r="H14" s="8"/>
      <c r="I14" s="122">
        <f>SUM(F11:F32)</f>
        <v>61234.849999999991</v>
      </c>
      <c r="J14" s="10"/>
    </row>
    <row r="15" spans="1:12" ht="18.899999999999999" customHeight="1">
      <c r="A15" s="8"/>
      <c r="B15" s="20" t="s">
        <v>427</v>
      </c>
      <c r="C15" s="380" t="s">
        <v>175</v>
      </c>
      <c r="D15" s="20" t="s">
        <v>430</v>
      </c>
      <c r="E15" s="9"/>
      <c r="F15" s="21">
        <v>5190</v>
      </c>
      <c r="G15" s="10"/>
      <c r="H15" s="8"/>
      <c r="I15" s="9"/>
      <c r="J15" s="10"/>
    </row>
    <row r="16" spans="1:12" ht="18.899999999999999" customHeight="1">
      <c r="A16" s="8"/>
      <c r="B16" s="20"/>
      <c r="C16" s="380"/>
      <c r="D16" s="20"/>
      <c r="E16" s="9"/>
      <c r="F16" s="21"/>
      <c r="G16" s="10"/>
      <c r="H16" s="8"/>
      <c r="I16" s="9"/>
      <c r="J16" s="10"/>
    </row>
    <row r="17" spans="1:12" ht="18.899999999999999" customHeight="1">
      <c r="A17" s="8"/>
      <c r="B17" s="20"/>
      <c r="C17" s="380"/>
      <c r="D17" s="20"/>
      <c r="E17" s="9"/>
      <c r="F17" s="21"/>
      <c r="G17" s="10"/>
      <c r="H17" s="8"/>
      <c r="J17" s="10"/>
      <c r="L17" s="27">
        <f>I4-I36</f>
        <v>61234.849999999627</v>
      </c>
    </row>
    <row r="18" spans="1:12" ht="18.899999999999999" customHeight="1">
      <c r="A18" s="8"/>
      <c r="B18" s="20"/>
      <c r="C18" s="380"/>
      <c r="D18" s="20"/>
      <c r="E18" s="9"/>
      <c r="F18" s="21"/>
      <c r="G18" s="10"/>
      <c r="H18" s="8"/>
      <c r="I18" s="59"/>
      <c r="J18" s="10"/>
      <c r="L18" s="27"/>
    </row>
    <row r="19" spans="1:12" ht="18.899999999999999" customHeight="1">
      <c r="A19" s="8"/>
      <c r="B19" s="20"/>
      <c r="C19" s="380"/>
      <c r="D19" s="20"/>
      <c r="E19" s="9"/>
      <c r="F19" s="21"/>
      <c r="G19" s="10"/>
      <c r="H19" s="8"/>
      <c r="I19" s="59"/>
      <c r="J19" s="10"/>
      <c r="L19" s="27"/>
    </row>
    <row r="20" spans="1:12" ht="18.899999999999999" customHeight="1">
      <c r="A20" s="8"/>
      <c r="B20" s="20"/>
      <c r="C20" s="380"/>
      <c r="D20" s="20"/>
      <c r="E20" s="9"/>
      <c r="F20" s="21"/>
      <c r="G20" s="10"/>
      <c r="H20" s="8"/>
      <c r="I20" s="59"/>
      <c r="J20" s="10"/>
      <c r="L20" s="27">
        <f>SUM(F19:F21)</f>
        <v>0</v>
      </c>
    </row>
    <row r="21" spans="1:12" ht="18.899999999999999" customHeight="1">
      <c r="A21" s="8"/>
      <c r="B21" s="20"/>
      <c r="C21" s="378"/>
      <c r="D21" s="20"/>
      <c r="F21" s="26"/>
      <c r="G21" s="10"/>
      <c r="H21" s="8"/>
      <c r="I21" s="59"/>
      <c r="J21" s="10"/>
      <c r="L21" s="27"/>
    </row>
    <row r="22" spans="1:12" ht="18.899999999999999" customHeight="1">
      <c r="A22" s="8"/>
      <c r="B22" s="20"/>
      <c r="C22" s="378"/>
      <c r="D22" s="20"/>
      <c r="E22" s="9"/>
      <c r="F22" s="110"/>
      <c r="G22" s="10"/>
      <c r="H22" s="8"/>
      <c r="I22" s="9"/>
      <c r="J22" s="10"/>
    </row>
    <row r="23" spans="1:12" ht="18.899999999999999" customHeight="1">
      <c r="A23" s="8"/>
      <c r="B23" s="14"/>
      <c r="C23" s="378"/>
      <c r="D23" s="20"/>
      <c r="E23" s="9"/>
      <c r="F23" s="110"/>
      <c r="G23" s="10"/>
      <c r="H23" s="8"/>
      <c r="I23" s="9"/>
      <c r="J23" s="10"/>
    </row>
    <row r="24" spans="1:12" ht="18.899999999999999" customHeight="1">
      <c r="A24" s="8"/>
      <c r="B24" s="20"/>
      <c r="C24" s="378"/>
      <c r="D24" s="20"/>
      <c r="E24" s="9"/>
      <c r="F24" s="110"/>
      <c r="G24" s="10"/>
      <c r="H24" s="8"/>
      <c r="I24" s="9"/>
      <c r="J24" s="10"/>
    </row>
    <row r="25" spans="1:12" ht="18.899999999999999" customHeight="1">
      <c r="A25" s="8"/>
      <c r="B25" s="20"/>
      <c r="C25" s="378"/>
      <c r="D25" s="20"/>
      <c r="E25" s="9"/>
      <c r="F25" s="110"/>
      <c r="G25" s="10"/>
      <c r="H25" s="8"/>
      <c r="I25" s="9"/>
      <c r="J25" s="10"/>
    </row>
    <row r="26" spans="1:12" ht="18.899999999999999" customHeight="1">
      <c r="A26" s="8"/>
      <c r="B26" s="14" t="s">
        <v>37</v>
      </c>
      <c r="C26" s="378"/>
      <c r="D26" s="20"/>
      <c r="E26" s="9"/>
      <c r="F26" s="110"/>
      <c r="G26" s="10"/>
      <c r="H26" s="8"/>
      <c r="I26" s="9"/>
      <c r="J26" s="10"/>
    </row>
    <row r="27" spans="1:12" ht="18.899999999999999" customHeight="1">
      <c r="A27" s="8"/>
      <c r="B27" s="20"/>
      <c r="C27" s="378"/>
      <c r="D27" s="20"/>
      <c r="E27" s="9"/>
      <c r="F27" s="110"/>
      <c r="G27" s="10"/>
      <c r="H27" s="8"/>
      <c r="I27" s="9"/>
      <c r="J27" s="10"/>
    </row>
    <row r="28" spans="1:12" ht="18.899999999999999" customHeight="1">
      <c r="A28" s="8"/>
      <c r="B28" s="14" t="s">
        <v>409</v>
      </c>
      <c r="C28" s="380"/>
      <c r="D28" s="109"/>
      <c r="E28" s="9"/>
      <c r="F28" s="110"/>
      <c r="G28" s="10"/>
      <c r="H28" s="8"/>
      <c r="I28" s="9"/>
      <c r="J28" s="10"/>
    </row>
    <row r="29" spans="1:12" ht="18.899999999999999" customHeight="1">
      <c r="A29" s="8"/>
      <c r="B29" s="357" t="s">
        <v>419</v>
      </c>
      <c r="C29" s="356"/>
      <c r="D29" s="109"/>
      <c r="E29" s="9"/>
      <c r="F29" s="110"/>
      <c r="G29" s="10"/>
      <c r="H29" s="8"/>
      <c r="I29" s="25"/>
      <c r="J29" s="10"/>
    </row>
    <row r="30" spans="1:12" ht="18.899999999999999" customHeight="1">
      <c r="A30" s="8"/>
      <c r="B30" s="20"/>
      <c r="C30" s="378"/>
      <c r="D30" s="20"/>
      <c r="E30" s="9"/>
      <c r="F30" s="110"/>
      <c r="G30" s="10"/>
      <c r="H30" s="8"/>
      <c r="I30" s="9"/>
      <c r="J30" s="10"/>
    </row>
    <row r="31" spans="1:12" ht="18.899999999999999" customHeight="1">
      <c r="A31" s="8"/>
      <c r="B31" s="20"/>
      <c r="C31" s="378"/>
      <c r="D31" s="20"/>
      <c r="E31" s="9"/>
      <c r="F31" s="110"/>
      <c r="G31" s="10"/>
      <c r="H31" s="8"/>
      <c r="I31" s="58">
        <f>SUM(F30:F31)</f>
        <v>0</v>
      </c>
      <c r="J31" s="10"/>
    </row>
    <row r="32" spans="1:12" ht="18.899999999999999" customHeight="1">
      <c r="A32" s="8"/>
      <c r="B32" s="20"/>
      <c r="C32" s="378"/>
      <c r="D32" s="20"/>
      <c r="E32" s="9"/>
      <c r="F32" s="110"/>
      <c r="G32" s="10"/>
      <c r="H32" s="8"/>
      <c r="I32" s="9"/>
      <c r="J32" s="10"/>
    </row>
    <row r="33" spans="1:12" ht="18.899999999999999" customHeight="1">
      <c r="A33" s="8"/>
      <c r="B33" s="14"/>
      <c r="C33" s="111"/>
      <c r="D33" s="109"/>
      <c r="E33" s="9"/>
      <c r="F33" s="110"/>
      <c r="G33" s="10"/>
      <c r="H33" s="8"/>
      <c r="I33" s="9"/>
      <c r="J33" s="10"/>
    </row>
    <row r="34" spans="1:12" ht="18.899999999999999" customHeight="1">
      <c r="A34" s="8"/>
      <c r="B34" s="14"/>
      <c r="C34" s="111"/>
      <c r="D34" s="109"/>
      <c r="E34" s="9"/>
      <c r="F34" s="110"/>
      <c r="G34" s="10"/>
      <c r="H34" s="8"/>
      <c r="I34" s="9"/>
      <c r="J34" s="10"/>
    </row>
    <row r="35" spans="1:12">
      <c r="A35" s="8"/>
      <c r="B35" s="357"/>
      <c r="C35" s="356"/>
      <c r="D35" s="109"/>
      <c r="E35" s="9"/>
      <c r="F35" s="110"/>
      <c r="G35" s="10"/>
      <c r="H35" s="8"/>
      <c r="I35" s="25"/>
      <c r="J35" s="10"/>
    </row>
    <row r="36" spans="1:12" ht="21.75" customHeight="1">
      <c r="A36" s="28"/>
      <c r="B36" s="29" t="s">
        <v>379</v>
      </c>
      <c r="C36" s="29"/>
      <c r="D36" s="29"/>
      <c r="E36" s="522" t="str">
        <f>E4</f>
        <v xml:space="preserve"> 30 เมษายน 2557</v>
      </c>
      <c r="F36" s="522"/>
      <c r="G36" s="31"/>
      <c r="H36" s="28"/>
      <c r="I36" s="12">
        <f>I4-I14-I35</f>
        <v>7753180.3900000006</v>
      </c>
      <c r="J36" s="30"/>
      <c r="L36" s="24"/>
    </row>
    <row r="37" spans="1:12" ht="32.25" customHeight="1">
      <c r="A37" s="3"/>
      <c r="B37" s="5" t="s">
        <v>40</v>
      </c>
      <c r="C37" s="5"/>
      <c r="D37" s="5"/>
      <c r="E37" s="7"/>
      <c r="F37" s="3" t="s">
        <v>41</v>
      </c>
      <c r="G37" s="5"/>
      <c r="H37" s="5"/>
      <c r="I37" s="5"/>
      <c r="J37" s="7"/>
    </row>
    <row r="38" spans="1:12">
      <c r="A38" s="8"/>
      <c r="B38" s="519" t="s">
        <v>387</v>
      </c>
      <c r="C38" s="519"/>
      <c r="D38" s="519"/>
      <c r="E38" s="10"/>
      <c r="F38" s="520" t="s">
        <v>182</v>
      </c>
      <c r="G38" s="519"/>
      <c r="H38" s="519"/>
      <c r="I38" s="519"/>
      <c r="J38" s="10"/>
    </row>
    <row r="39" spans="1:12">
      <c r="A39" s="8"/>
      <c r="B39" s="519" t="s">
        <v>181</v>
      </c>
      <c r="C39" s="519"/>
      <c r="D39" s="519"/>
      <c r="E39" s="10"/>
      <c r="F39" s="520" t="s">
        <v>58</v>
      </c>
      <c r="G39" s="519"/>
      <c r="H39" s="519"/>
      <c r="I39" s="519"/>
      <c r="J39" s="10"/>
      <c r="L39" s="24"/>
    </row>
    <row r="40" spans="1:12">
      <c r="A40" s="28"/>
      <c r="B40" s="514" t="s">
        <v>184</v>
      </c>
      <c r="C40" s="514"/>
      <c r="D40" s="514"/>
      <c r="E40" s="31"/>
      <c r="F40" s="513" t="s">
        <v>183</v>
      </c>
      <c r="G40" s="514"/>
      <c r="H40" s="514"/>
      <c r="I40" s="514"/>
      <c r="J40" s="31"/>
    </row>
    <row r="41" spans="1:12" ht="20.100000000000001" customHeight="1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1" ht="20.100000000000001" customHeight="1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1" ht="20.100000000000001" customHeight="1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1" ht="20.100000000000001" customHeight="1">
      <c r="A59" s="8"/>
      <c r="B59" s="9"/>
      <c r="C59" s="9"/>
      <c r="D59" s="9"/>
      <c r="E59" s="9"/>
      <c r="F59" s="9"/>
      <c r="G59" s="9"/>
      <c r="H59" s="9"/>
      <c r="I59" s="9"/>
      <c r="J59" s="10"/>
    </row>
    <row r="60" spans="1:11" ht="20.100000000000001" customHeight="1">
      <c r="A60" s="8"/>
      <c r="B60" s="9"/>
      <c r="C60" s="9"/>
      <c r="D60" s="9"/>
      <c r="E60" s="9"/>
      <c r="F60" s="9"/>
      <c r="G60" s="9"/>
      <c r="H60" s="9"/>
      <c r="I60" s="9"/>
      <c r="J60" s="10"/>
    </row>
    <row r="61" spans="1:11" ht="21.75" customHeight="1">
      <c r="A61" s="516" t="s">
        <v>22</v>
      </c>
      <c r="B61" s="517"/>
      <c r="C61" s="517"/>
      <c r="D61" s="517"/>
      <c r="E61" s="517"/>
      <c r="F61" s="517"/>
      <c r="G61" s="518"/>
      <c r="H61" s="516" t="s">
        <v>23</v>
      </c>
      <c r="I61" s="517"/>
      <c r="J61" s="518"/>
      <c r="K61" s="1"/>
    </row>
    <row r="62" spans="1:11" ht="21.75" customHeight="1">
      <c r="A62" s="510" t="s">
        <v>24</v>
      </c>
      <c r="B62" s="511"/>
      <c r="C62" s="511"/>
      <c r="D62" s="511"/>
      <c r="E62" s="511"/>
      <c r="F62" s="511"/>
      <c r="G62" s="512"/>
      <c r="H62" s="513" t="s">
        <v>88</v>
      </c>
      <c r="I62" s="514"/>
      <c r="J62" s="515"/>
    </row>
    <row r="63" spans="1:11" ht="14.25" customHeight="1">
      <c r="A63" s="3"/>
      <c r="B63" s="4"/>
      <c r="C63" s="5"/>
      <c r="D63" s="6"/>
      <c r="E63" s="5"/>
      <c r="F63" s="5"/>
      <c r="G63" s="7"/>
      <c r="H63" s="507" t="s">
        <v>26</v>
      </c>
      <c r="I63" s="508"/>
      <c r="J63" s="509"/>
    </row>
    <row r="64" spans="1:11" ht="18.75" customHeight="1">
      <c r="A64" s="8"/>
      <c r="B64" s="9" t="s">
        <v>86</v>
      </c>
      <c r="C64" s="9"/>
      <c r="D64" s="9"/>
      <c r="E64" s="9"/>
      <c r="F64" s="9"/>
      <c r="G64" s="10"/>
      <c r="H64" s="11"/>
      <c r="I64" s="12">
        <v>6532376.5499999998</v>
      </c>
      <c r="J64" s="13"/>
    </row>
    <row r="65" spans="1:11" ht="17.25" customHeight="1">
      <c r="A65" s="8"/>
      <c r="B65" s="14" t="s">
        <v>27</v>
      </c>
      <c r="C65" s="9"/>
      <c r="D65" s="9"/>
      <c r="E65" s="9"/>
      <c r="F65" s="9"/>
      <c r="G65" s="10"/>
      <c r="H65" s="8"/>
      <c r="I65" s="9"/>
      <c r="J65" s="10"/>
    </row>
    <row r="66" spans="1:11" ht="16.5" customHeight="1">
      <c r="A66" s="8"/>
      <c r="B66" s="15" t="s">
        <v>28</v>
      </c>
      <c r="C66" s="16"/>
      <c r="D66" s="15" t="s">
        <v>29</v>
      </c>
      <c r="E66" s="16"/>
      <c r="F66" s="17" t="s">
        <v>30</v>
      </c>
      <c r="G66" s="10"/>
      <c r="H66" s="8"/>
      <c r="I66" s="9"/>
      <c r="J66" s="10"/>
    </row>
    <row r="67" spans="1:11" ht="16.5" customHeight="1">
      <c r="A67" s="8"/>
      <c r="B67" s="18" t="s">
        <v>31</v>
      </c>
      <c r="C67" s="9"/>
      <c r="D67" s="18" t="s">
        <v>31</v>
      </c>
      <c r="E67" s="9"/>
      <c r="F67" s="18" t="s">
        <v>32</v>
      </c>
      <c r="G67" s="10"/>
      <c r="H67" s="8"/>
      <c r="I67" s="9" t="s">
        <v>33</v>
      </c>
      <c r="J67" s="10"/>
    </row>
    <row r="68" spans="1:11" ht="16.5" customHeight="1">
      <c r="A68" s="8"/>
      <c r="B68" s="18" t="s">
        <v>31</v>
      </c>
      <c r="C68" s="9"/>
      <c r="D68" s="18" t="s">
        <v>31</v>
      </c>
      <c r="E68" s="9"/>
      <c r="F68" s="18" t="s">
        <v>32</v>
      </c>
      <c r="G68" s="10"/>
      <c r="H68" s="8"/>
      <c r="I68" s="9" t="s">
        <v>33</v>
      </c>
      <c r="J68" s="10"/>
    </row>
    <row r="69" spans="1:11">
      <c r="A69" s="8"/>
      <c r="B69" s="14" t="s">
        <v>34</v>
      </c>
      <c r="C69" s="9"/>
      <c r="D69" s="9"/>
      <c r="E69" s="9"/>
      <c r="F69" s="9"/>
      <c r="G69" s="10"/>
      <c r="H69" s="8"/>
      <c r="I69" s="9"/>
      <c r="J69" s="10"/>
    </row>
    <row r="70" spans="1:11" ht="18.899999999999999" customHeight="1">
      <c r="A70" s="8"/>
      <c r="B70" s="111" t="s">
        <v>35</v>
      </c>
      <c r="C70" s="9"/>
      <c r="D70" s="111" t="s">
        <v>36</v>
      </c>
      <c r="E70" s="9"/>
      <c r="F70" s="19" t="s">
        <v>30</v>
      </c>
      <c r="G70" s="10"/>
      <c r="H70" s="8"/>
      <c r="I70" s="9"/>
      <c r="J70" s="10"/>
    </row>
    <row r="71" spans="1:11" ht="18.899999999999999" customHeight="1">
      <c r="A71" s="8"/>
      <c r="B71" s="20"/>
      <c r="C71" s="9"/>
      <c r="D71" s="20"/>
      <c r="E71" s="9"/>
      <c r="F71" s="21"/>
      <c r="G71" s="22"/>
      <c r="H71" s="8"/>
      <c r="I71" s="23"/>
      <c r="J71" s="10"/>
      <c r="K71" s="24"/>
    </row>
    <row r="72" spans="1:11" ht="18.899999999999999" customHeight="1">
      <c r="A72" s="8"/>
      <c r="B72" s="20"/>
      <c r="C72" s="9"/>
      <c r="D72" s="20"/>
      <c r="E72" s="9"/>
      <c r="F72" s="21"/>
      <c r="G72" s="22"/>
      <c r="H72" s="8"/>
      <c r="I72" s="23"/>
      <c r="J72" s="10"/>
      <c r="K72" s="24"/>
    </row>
    <row r="73" spans="1:11" ht="18.899999999999999" customHeight="1">
      <c r="A73" s="8"/>
      <c r="B73" s="20"/>
      <c r="C73" s="9"/>
      <c r="D73" s="20"/>
      <c r="E73" s="9"/>
      <c r="F73" s="21"/>
      <c r="G73" s="22"/>
      <c r="H73" s="8"/>
      <c r="I73" s="23"/>
      <c r="J73" s="10"/>
      <c r="K73" s="24"/>
    </row>
    <row r="74" spans="1:11" ht="18.899999999999999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899999999999999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899999999999999" customHeight="1">
      <c r="A76" s="8"/>
      <c r="B76" s="20"/>
      <c r="C76" s="9"/>
      <c r="D76" s="20"/>
      <c r="E76" s="9"/>
      <c r="F76" s="21"/>
      <c r="G76" s="22"/>
      <c r="H76" s="9"/>
      <c r="I76" s="23"/>
      <c r="J76" s="10"/>
      <c r="K76" s="24"/>
    </row>
    <row r="77" spans="1:11" ht="18.899999999999999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899999999999999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899999999999999" customHeight="1">
      <c r="A79" s="8"/>
      <c r="B79" s="20"/>
      <c r="C79" s="9"/>
      <c r="D79" s="20"/>
      <c r="E79" s="9"/>
      <c r="F79" s="21"/>
      <c r="G79" s="22"/>
      <c r="H79" s="9"/>
      <c r="I79" s="23">
        <v>12158.25</v>
      </c>
      <c r="J79" s="10"/>
      <c r="K79" s="24"/>
    </row>
    <row r="80" spans="1:11" ht="18.899999999999999" customHeight="1">
      <c r="A80" s="8"/>
      <c r="B80" s="20"/>
      <c r="C80" s="9"/>
      <c r="D80" s="20"/>
      <c r="E80" s="9"/>
      <c r="F80" s="21"/>
      <c r="G80" s="22"/>
      <c r="H80" s="9"/>
      <c r="I80" s="23"/>
      <c r="J80" s="10"/>
      <c r="K80" s="24"/>
    </row>
    <row r="81" spans="1:12" ht="18.899999999999999" customHeight="1">
      <c r="A81" s="8"/>
      <c r="B81" s="20"/>
      <c r="C81" s="9"/>
      <c r="D81" s="20"/>
      <c r="E81" s="9"/>
      <c r="F81" s="21"/>
      <c r="G81" s="22"/>
      <c r="H81" s="9"/>
      <c r="I81" s="23"/>
      <c r="J81" s="10"/>
      <c r="K81" s="24"/>
    </row>
    <row r="82" spans="1:12" ht="18.899999999999999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899999999999999" customHeight="1">
      <c r="A83" s="8"/>
      <c r="B83" s="20"/>
      <c r="C83" s="9"/>
      <c r="D83" s="20"/>
      <c r="E83" s="9"/>
      <c r="F83" s="21"/>
      <c r="G83" s="22"/>
      <c r="H83" s="9"/>
      <c r="I83" s="9"/>
      <c r="J83" s="10"/>
    </row>
    <row r="84" spans="1:12" ht="18.899999999999999" customHeight="1">
      <c r="A84" s="8"/>
      <c r="B84" s="20"/>
      <c r="C84" s="9"/>
      <c r="D84" s="20"/>
      <c r="E84" s="9"/>
      <c r="F84" s="21"/>
      <c r="G84" s="22"/>
      <c r="H84" s="9"/>
      <c r="I84" s="9"/>
      <c r="J84" s="10"/>
    </row>
    <row r="85" spans="1:12" ht="18.899999999999999" customHeight="1">
      <c r="A85" s="8"/>
      <c r="B85" s="20"/>
      <c r="C85" s="9"/>
      <c r="D85" s="20"/>
      <c r="E85" s="9"/>
      <c r="F85" s="21"/>
      <c r="G85" s="22"/>
      <c r="H85" s="9"/>
      <c r="I85" s="9"/>
      <c r="J85" s="10"/>
    </row>
    <row r="86" spans="1:12" ht="18.899999999999999" customHeight="1">
      <c r="A86" s="8"/>
      <c r="B86" s="20"/>
      <c r="C86" s="9"/>
      <c r="D86" s="20"/>
      <c r="E86" s="9"/>
      <c r="F86" s="25"/>
      <c r="G86" s="10"/>
      <c r="H86" s="9"/>
      <c r="I86" s="9"/>
      <c r="J86" s="10"/>
    </row>
    <row r="87" spans="1:12" ht="18.899999999999999" customHeight="1">
      <c r="A87" s="8"/>
      <c r="B87" s="20"/>
      <c r="C87" s="9"/>
      <c r="D87" s="20"/>
      <c r="E87" s="9"/>
      <c r="F87" s="25"/>
      <c r="G87" s="10"/>
      <c r="H87" s="9"/>
      <c r="I87" s="9"/>
      <c r="J87" s="10"/>
    </row>
    <row r="88" spans="1:12" ht="18.899999999999999" customHeight="1">
      <c r="A88" s="8"/>
      <c r="B88" s="20"/>
      <c r="C88" s="9"/>
      <c r="D88" s="20"/>
      <c r="E88" s="9"/>
      <c r="F88" s="25"/>
      <c r="G88" s="10"/>
      <c r="H88" s="9"/>
      <c r="I88" s="9"/>
      <c r="J88" s="10"/>
    </row>
    <row r="89" spans="1:12" ht="18.899999999999999" customHeight="1">
      <c r="A89" s="8"/>
      <c r="B89" s="20"/>
      <c r="D89" s="20"/>
      <c r="F89" s="26"/>
      <c r="G89" s="10"/>
      <c r="I89" s="27"/>
      <c r="J89" s="10"/>
    </row>
    <row r="90" spans="1:12">
      <c r="A90" s="8"/>
      <c r="B90" s="14" t="s">
        <v>37</v>
      </c>
      <c r="C90" s="9"/>
      <c r="D90" s="9"/>
      <c r="E90" s="9"/>
      <c r="F90" s="9"/>
      <c r="G90" s="10"/>
      <c r="H90" s="8"/>
      <c r="I90" s="9"/>
      <c r="J90" s="10"/>
    </row>
    <row r="91" spans="1:12">
      <c r="A91" s="8"/>
      <c r="B91" s="14" t="s">
        <v>38</v>
      </c>
      <c r="C91" s="9"/>
      <c r="D91" s="9"/>
      <c r="E91" s="9"/>
      <c r="F91" s="9"/>
      <c r="G91" s="10"/>
      <c r="H91" s="8"/>
      <c r="I91" s="9"/>
      <c r="J91" s="10"/>
      <c r="L91" s="2">
        <f>SUM(L82)</f>
        <v>0</v>
      </c>
    </row>
    <row r="92" spans="1:12" ht="19.5" customHeight="1">
      <c r="A92" s="8"/>
      <c r="B92" s="18" t="s">
        <v>39</v>
      </c>
      <c r="C92" s="9"/>
      <c r="D92" s="18" t="s">
        <v>31</v>
      </c>
      <c r="E92" s="9"/>
      <c r="F92" s="18" t="s">
        <v>32</v>
      </c>
      <c r="G92" s="10"/>
      <c r="H92" s="8"/>
      <c r="I92" s="9" t="s">
        <v>33</v>
      </c>
      <c r="J92" s="10"/>
    </row>
    <row r="93" spans="1:12" ht="16.5" customHeight="1">
      <c r="A93" s="8"/>
      <c r="B93" s="18" t="s">
        <v>31</v>
      </c>
      <c r="C93" s="9"/>
      <c r="D93" s="18" t="s">
        <v>31</v>
      </c>
      <c r="E93" s="9"/>
      <c r="F93" s="18" t="s">
        <v>32</v>
      </c>
      <c r="G93" s="10"/>
      <c r="H93" s="8"/>
      <c r="I93" s="9" t="s">
        <v>33</v>
      </c>
      <c r="J93" s="10"/>
    </row>
    <row r="94" spans="1:12" ht="21.75" customHeight="1">
      <c r="A94" s="28"/>
      <c r="B94" s="29" t="s">
        <v>87</v>
      </c>
      <c r="C94" s="29"/>
      <c r="D94" s="29"/>
      <c r="E94" s="29"/>
      <c r="F94" s="29"/>
      <c r="G94" s="31"/>
      <c r="H94" s="28"/>
      <c r="I94" s="12">
        <v>6520225.8099999996</v>
      </c>
      <c r="J94" s="30"/>
    </row>
    <row r="95" spans="1:12" ht="32.25" customHeight="1">
      <c r="A95" s="8"/>
      <c r="B95" s="9" t="s">
        <v>40</v>
      </c>
      <c r="C95" s="9"/>
      <c r="D95" s="9"/>
      <c r="E95" s="9"/>
      <c r="F95" s="3" t="s">
        <v>41</v>
      </c>
      <c r="G95" s="5"/>
      <c r="H95" s="5"/>
      <c r="I95" s="5"/>
      <c r="J95" s="7"/>
    </row>
    <row r="96" spans="1:12">
      <c r="A96" s="8"/>
      <c r="B96" s="9" t="s">
        <v>42</v>
      </c>
      <c r="C96" s="9"/>
      <c r="D96" s="9" t="s">
        <v>43</v>
      </c>
      <c r="E96" s="9"/>
      <c r="F96" s="8" t="s">
        <v>83</v>
      </c>
      <c r="G96" s="9"/>
      <c r="I96" s="9" t="s">
        <v>84</v>
      </c>
      <c r="J96" s="10"/>
    </row>
    <row r="97" spans="1:11" ht="27" customHeight="1">
      <c r="A97" s="28"/>
      <c r="B97" s="29" t="s">
        <v>44</v>
      </c>
      <c r="C97" s="29"/>
      <c r="D97" s="29"/>
      <c r="E97" s="29"/>
      <c r="F97" s="28" t="s">
        <v>45</v>
      </c>
      <c r="G97" s="29"/>
      <c r="H97" s="29"/>
      <c r="I97" s="29"/>
      <c r="J97" s="31"/>
    </row>
    <row r="98" spans="1:11" ht="21.75" customHeight="1">
      <c r="A98" s="516" t="s">
        <v>22</v>
      </c>
      <c r="B98" s="517"/>
      <c r="C98" s="517"/>
      <c r="D98" s="517"/>
      <c r="E98" s="517"/>
      <c r="F98" s="517"/>
      <c r="G98" s="518"/>
      <c r="H98" s="516" t="s">
        <v>23</v>
      </c>
      <c r="I98" s="517"/>
      <c r="J98" s="518"/>
      <c r="K98" s="1"/>
    </row>
    <row r="99" spans="1:11" ht="21.75" customHeight="1">
      <c r="A99" s="510" t="s">
        <v>24</v>
      </c>
      <c r="B99" s="511"/>
      <c r="C99" s="511"/>
      <c r="D99" s="511"/>
      <c r="E99" s="511"/>
      <c r="F99" s="511"/>
      <c r="G99" s="512"/>
      <c r="H99" s="513" t="s">
        <v>25</v>
      </c>
      <c r="I99" s="514"/>
      <c r="J99" s="515"/>
    </row>
    <row r="100" spans="1:11" ht="14.25" customHeight="1">
      <c r="A100" s="3"/>
      <c r="B100" s="4"/>
      <c r="C100" s="5"/>
      <c r="D100" s="6"/>
      <c r="E100" s="5"/>
      <c r="F100" s="5"/>
      <c r="G100" s="7"/>
      <c r="H100" s="507" t="s">
        <v>26</v>
      </c>
      <c r="I100" s="508"/>
      <c r="J100" s="509"/>
    </row>
    <row r="101" spans="1:11" ht="18.75" customHeight="1">
      <c r="A101" s="8"/>
      <c r="B101" s="9" t="s">
        <v>90</v>
      </c>
      <c r="C101" s="9"/>
      <c r="D101" s="9"/>
      <c r="E101" s="9"/>
      <c r="F101" s="9"/>
      <c r="G101" s="10"/>
      <c r="H101" s="11"/>
      <c r="I101" s="12">
        <v>8889423.5899999999</v>
      </c>
      <c r="J101" s="13"/>
    </row>
    <row r="102" spans="1:11" ht="17.25" customHeight="1">
      <c r="A102" s="8"/>
      <c r="B102" s="14" t="s">
        <v>27</v>
      </c>
      <c r="C102" s="9"/>
      <c r="D102" s="9"/>
      <c r="E102" s="9"/>
      <c r="F102" s="9"/>
      <c r="G102" s="10"/>
      <c r="H102" s="8"/>
      <c r="I102" s="9"/>
      <c r="J102" s="10"/>
    </row>
    <row r="103" spans="1:11" ht="16.5" customHeight="1">
      <c r="A103" s="8"/>
      <c r="B103" s="15" t="s">
        <v>28</v>
      </c>
      <c r="C103" s="16"/>
      <c r="D103" s="15" t="s">
        <v>29</v>
      </c>
      <c r="E103" s="16"/>
      <c r="F103" s="17" t="s">
        <v>30</v>
      </c>
      <c r="G103" s="10"/>
      <c r="H103" s="8"/>
      <c r="I103" s="9"/>
      <c r="J103" s="10"/>
    </row>
    <row r="104" spans="1:11" ht="16.5" customHeight="1">
      <c r="A104" s="8"/>
      <c r="B104" s="18" t="s">
        <v>31</v>
      </c>
      <c r="C104" s="9"/>
      <c r="D104" s="18" t="s">
        <v>31</v>
      </c>
      <c r="E104" s="9"/>
      <c r="F104" s="18" t="s">
        <v>32</v>
      </c>
      <c r="G104" s="10"/>
      <c r="H104" s="8"/>
      <c r="I104" s="9" t="s">
        <v>33</v>
      </c>
      <c r="J104" s="10"/>
    </row>
    <row r="105" spans="1:11" ht="16.5" customHeight="1">
      <c r="A105" s="8"/>
      <c r="B105" s="18" t="s">
        <v>31</v>
      </c>
      <c r="C105" s="9"/>
      <c r="D105" s="18" t="s">
        <v>31</v>
      </c>
      <c r="E105" s="9"/>
      <c r="F105" s="18" t="s">
        <v>32</v>
      </c>
      <c r="G105" s="10"/>
      <c r="H105" s="8"/>
      <c r="I105" s="9" t="s">
        <v>33</v>
      </c>
      <c r="J105" s="10"/>
    </row>
    <row r="106" spans="1:11">
      <c r="A106" s="8"/>
      <c r="B106" s="14" t="s">
        <v>34</v>
      </c>
      <c r="C106" s="9"/>
      <c r="D106" s="9"/>
      <c r="E106" s="9"/>
      <c r="F106" s="9"/>
      <c r="G106" s="10"/>
      <c r="H106" s="8"/>
      <c r="I106" s="9"/>
      <c r="J106" s="10"/>
    </row>
    <row r="107" spans="1:11" ht="18.899999999999999" customHeight="1">
      <c r="A107" s="8"/>
      <c r="B107" s="111" t="s">
        <v>35</v>
      </c>
      <c r="C107" s="9"/>
      <c r="D107" s="111" t="s">
        <v>36</v>
      </c>
      <c r="E107" s="9"/>
      <c r="F107" s="19" t="s">
        <v>30</v>
      </c>
      <c r="G107" s="10"/>
      <c r="H107" s="8"/>
      <c r="I107" s="9"/>
      <c r="J107" s="10"/>
    </row>
    <row r="108" spans="1:11" ht="18.899999999999999" customHeight="1">
      <c r="A108" s="8"/>
      <c r="B108" s="20" t="s">
        <v>85</v>
      </c>
      <c r="C108" s="9"/>
      <c r="D108" s="111" t="s">
        <v>89</v>
      </c>
      <c r="E108" s="9"/>
      <c r="F108" s="21">
        <v>450</v>
      </c>
      <c r="G108" s="22"/>
      <c r="H108" s="8"/>
      <c r="I108" s="23"/>
      <c r="J108" s="10"/>
      <c r="K108" s="24"/>
    </row>
    <row r="109" spans="1:11" ht="18.899999999999999" customHeight="1">
      <c r="A109" s="8"/>
      <c r="B109" s="20" t="s">
        <v>91</v>
      </c>
      <c r="C109" s="9"/>
      <c r="D109" s="111" t="s">
        <v>95</v>
      </c>
      <c r="E109" s="9"/>
      <c r="F109" s="21">
        <v>4084</v>
      </c>
      <c r="G109" s="22"/>
      <c r="H109" s="8"/>
      <c r="I109" s="23"/>
      <c r="J109" s="10"/>
      <c r="K109" s="24"/>
    </row>
    <row r="110" spans="1:11" ht="18.899999999999999" customHeight="1">
      <c r="A110" s="8"/>
      <c r="B110" s="20" t="s">
        <v>91</v>
      </c>
      <c r="C110" s="9"/>
      <c r="D110" s="111" t="s">
        <v>96</v>
      </c>
      <c r="E110" s="9"/>
      <c r="F110" s="21">
        <v>5517.95</v>
      </c>
      <c r="G110" s="22"/>
      <c r="H110" s="8"/>
      <c r="I110" s="23"/>
      <c r="J110" s="10"/>
      <c r="K110" s="24"/>
    </row>
    <row r="111" spans="1:11" ht="18.899999999999999" customHeight="1">
      <c r="A111" s="8"/>
      <c r="B111" s="20" t="s">
        <v>91</v>
      </c>
      <c r="C111" s="9"/>
      <c r="D111" s="111" t="s">
        <v>96</v>
      </c>
      <c r="E111" s="9"/>
      <c r="F111" s="21">
        <v>400</v>
      </c>
      <c r="G111" s="22"/>
      <c r="H111" s="9"/>
      <c r="I111" s="23"/>
      <c r="J111" s="10"/>
      <c r="K111" s="24"/>
    </row>
    <row r="112" spans="1:11" ht="18.899999999999999" customHeight="1">
      <c r="A112" s="8"/>
      <c r="B112" s="20" t="s">
        <v>91</v>
      </c>
      <c r="D112" s="111" t="s">
        <v>96</v>
      </c>
      <c r="F112" s="26">
        <v>2555.89</v>
      </c>
      <c r="G112" s="10"/>
      <c r="I112" s="27"/>
      <c r="J112" s="10"/>
    </row>
    <row r="113" spans="1:12" ht="18.899999999999999" customHeight="1">
      <c r="A113" s="8"/>
      <c r="B113" s="20" t="s">
        <v>92</v>
      </c>
      <c r="C113" s="9"/>
      <c r="D113" s="111" t="s">
        <v>97</v>
      </c>
      <c r="E113" s="9"/>
      <c r="F113" s="21">
        <v>1050</v>
      </c>
      <c r="G113" s="22"/>
      <c r="H113" s="9"/>
      <c r="I113" s="23"/>
      <c r="J113" s="10"/>
      <c r="K113" s="24"/>
    </row>
    <row r="114" spans="1:12" ht="18.899999999999999" customHeight="1">
      <c r="A114" s="8"/>
      <c r="B114" s="20" t="s">
        <v>92</v>
      </c>
      <c r="C114" s="9"/>
      <c r="D114" s="111" t="s">
        <v>98</v>
      </c>
      <c r="E114" s="9"/>
      <c r="F114" s="21">
        <v>1300</v>
      </c>
      <c r="G114" s="22"/>
      <c r="H114" s="9"/>
      <c r="I114" s="23"/>
      <c r="J114" s="10"/>
      <c r="K114" s="24"/>
    </row>
    <row r="115" spans="1:12" ht="18.899999999999999" customHeight="1">
      <c r="A115" s="8"/>
      <c r="B115" s="20" t="s">
        <v>92</v>
      </c>
      <c r="C115" s="9"/>
      <c r="D115" s="111" t="s">
        <v>99</v>
      </c>
      <c r="E115" s="9"/>
      <c r="F115" s="21">
        <v>1200</v>
      </c>
      <c r="G115" s="22"/>
      <c r="H115" s="9"/>
      <c r="I115" s="23"/>
      <c r="J115" s="10"/>
      <c r="K115" s="24"/>
    </row>
    <row r="116" spans="1:12" ht="18.899999999999999" customHeight="1">
      <c r="A116" s="8"/>
      <c r="B116" s="20" t="s">
        <v>92</v>
      </c>
      <c r="C116" s="9"/>
      <c r="D116" s="111" t="s">
        <v>100</v>
      </c>
      <c r="E116" s="9"/>
      <c r="F116" s="21">
        <v>29447.200000000001</v>
      </c>
      <c r="G116" s="22"/>
      <c r="H116" s="9"/>
      <c r="I116" s="23"/>
      <c r="J116" s="10"/>
      <c r="K116" s="24"/>
    </row>
    <row r="117" spans="1:12" ht="18.899999999999999" customHeight="1">
      <c r="A117" s="8"/>
      <c r="B117" s="20" t="s">
        <v>93</v>
      </c>
      <c r="C117" s="9"/>
      <c r="D117" s="111" t="s">
        <v>101</v>
      </c>
      <c r="E117" s="9"/>
      <c r="F117" s="21">
        <v>6395.4</v>
      </c>
      <c r="G117" s="22"/>
      <c r="H117" s="9"/>
      <c r="I117" s="23"/>
      <c r="J117" s="10"/>
      <c r="K117" s="24"/>
    </row>
    <row r="118" spans="1:12" ht="18.899999999999999" customHeight="1">
      <c r="A118" s="8"/>
      <c r="B118" s="20" t="s">
        <v>93</v>
      </c>
      <c r="C118" s="9"/>
      <c r="D118" s="111" t="s">
        <v>103</v>
      </c>
      <c r="E118" s="9"/>
      <c r="F118" s="21">
        <v>4284.33</v>
      </c>
      <c r="G118" s="22"/>
      <c r="H118" s="9"/>
      <c r="I118" s="59"/>
      <c r="J118" s="10"/>
      <c r="K118" s="24"/>
    </row>
    <row r="119" spans="1:12" ht="18.899999999999999" customHeight="1">
      <c r="A119" s="8"/>
      <c r="B119" s="20" t="s">
        <v>93</v>
      </c>
      <c r="C119" s="9"/>
      <c r="D119" s="111" t="s">
        <v>103</v>
      </c>
      <c r="E119" s="9"/>
      <c r="F119" s="21">
        <v>20256.560000000001</v>
      </c>
      <c r="G119" s="22"/>
      <c r="H119" s="9"/>
      <c r="I119" s="23"/>
      <c r="J119" s="10"/>
      <c r="K119" s="24"/>
    </row>
    <row r="120" spans="1:12" ht="18.899999999999999" customHeight="1">
      <c r="A120" s="8"/>
      <c r="B120" s="20" t="s">
        <v>93</v>
      </c>
      <c r="C120" s="9"/>
      <c r="D120" s="111" t="s">
        <v>104</v>
      </c>
      <c r="E120" s="9"/>
      <c r="F120" s="21">
        <v>10897.92</v>
      </c>
      <c r="G120" s="22"/>
      <c r="H120" s="9"/>
      <c r="I120" s="9"/>
      <c r="J120" s="10"/>
    </row>
    <row r="121" spans="1:12" ht="18.899999999999999" customHeight="1">
      <c r="A121" s="8"/>
      <c r="B121" s="20" t="s">
        <v>93</v>
      </c>
      <c r="C121" s="9"/>
      <c r="D121" s="111" t="s">
        <v>105</v>
      </c>
      <c r="E121" s="9"/>
      <c r="F121" s="21">
        <v>4128</v>
      </c>
      <c r="G121" s="22"/>
      <c r="H121" s="9"/>
      <c r="I121" s="9"/>
      <c r="J121" s="10"/>
    </row>
    <row r="122" spans="1:12" ht="18.899999999999999" customHeight="1">
      <c r="A122" s="8"/>
      <c r="B122" s="20" t="s">
        <v>93</v>
      </c>
      <c r="C122" s="9"/>
      <c r="D122" s="111" t="s">
        <v>106</v>
      </c>
      <c r="E122" s="9"/>
      <c r="F122" s="21">
        <v>600</v>
      </c>
      <c r="G122" s="22"/>
      <c r="H122" s="9"/>
      <c r="I122" s="9"/>
      <c r="J122" s="10"/>
      <c r="L122" s="2">
        <v>119520</v>
      </c>
    </row>
    <row r="123" spans="1:12" ht="18.899999999999999" customHeight="1">
      <c r="A123" s="8"/>
      <c r="B123" s="20" t="s">
        <v>93</v>
      </c>
      <c r="C123" s="9"/>
      <c r="D123" s="111" t="s">
        <v>107</v>
      </c>
      <c r="E123" s="9"/>
      <c r="F123" s="21">
        <v>6784</v>
      </c>
      <c r="G123" s="22"/>
      <c r="H123" s="9"/>
      <c r="I123" s="9"/>
      <c r="J123" s="10"/>
      <c r="L123" s="2">
        <v>4500</v>
      </c>
    </row>
    <row r="124" spans="1:12" ht="18.899999999999999" customHeight="1">
      <c r="A124" s="8"/>
      <c r="B124" s="20" t="s">
        <v>93</v>
      </c>
      <c r="C124" s="9"/>
      <c r="D124" s="111" t="s">
        <v>108</v>
      </c>
      <c r="E124" s="9"/>
      <c r="F124" s="25">
        <v>1862.43</v>
      </c>
      <c r="G124" s="10"/>
      <c r="H124" s="9"/>
      <c r="I124" s="9"/>
      <c r="J124" s="10"/>
      <c r="L124" s="2">
        <v>1250</v>
      </c>
    </row>
    <row r="125" spans="1:12" ht="18.899999999999999" customHeight="1">
      <c r="A125" s="8"/>
      <c r="B125" s="20" t="s">
        <v>93</v>
      </c>
      <c r="C125" s="9"/>
      <c r="D125" s="111" t="s">
        <v>109</v>
      </c>
      <c r="E125" s="9"/>
      <c r="F125" s="25">
        <v>8202.6200000000008</v>
      </c>
      <c r="G125" s="10"/>
      <c r="H125" s="9"/>
      <c r="I125" s="9"/>
      <c r="J125" s="10"/>
    </row>
    <row r="126" spans="1:12" ht="18.899999999999999" customHeight="1">
      <c r="A126" s="8"/>
      <c r="B126" s="20" t="s">
        <v>94</v>
      </c>
      <c r="C126" s="9"/>
      <c r="D126" s="111" t="s">
        <v>110</v>
      </c>
      <c r="E126" s="9"/>
      <c r="F126" s="25">
        <v>177772.9</v>
      </c>
      <c r="G126" s="10"/>
      <c r="H126" s="9"/>
      <c r="I126" s="58">
        <f>F108+F109+F110+F111+F112+F113+F114+F115+F116+F117+F118+F119+F120+F121+F122+F123+F124+F125+F126+F127</f>
        <v>287189.19999999995</v>
      </c>
      <c r="J126" s="10"/>
    </row>
    <row r="127" spans="1:12">
      <c r="A127" s="8"/>
      <c r="B127" s="14" t="s">
        <v>37</v>
      </c>
      <c r="C127" s="9"/>
      <c r="D127" s="9"/>
      <c r="E127" s="9"/>
      <c r="F127" s="58"/>
      <c r="G127" s="10"/>
      <c r="H127" s="8"/>
      <c r="I127" s="9"/>
      <c r="J127" s="10"/>
    </row>
    <row r="128" spans="1:12" ht="17.25" customHeight="1">
      <c r="A128" s="8"/>
      <c r="B128" s="14" t="s">
        <v>38</v>
      </c>
      <c r="C128" s="9"/>
      <c r="D128" s="9"/>
      <c r="E128" s="9"/>
      <c r="F128" s="9"/>
      <c r="G128" s="10"/>
      <c r="H128" s="8"/>
      <c r="I128" s="9"/>
      <c r="J128" s="10"/>
      <c r="L128" s="2">
        <f>SUM(L120)</f>
        <v>0</v>
      </c>
    </row>
    <row r="129" spans="1:11" ht="19.5" customHeight="1">
      <c r="A129" s="8"/>
      <c r="B129" s="18"/>
      <c r="C129" s="9"/>
      <c r="D129" s="18"/>
      <c r="E129" s="9"/>
      <c r="F129" s="18"/>
      <c r="G129" s="10"/>
      <c r="H129" s="8"/>
      <c r="I129" s="9"/>
      <c r="J129" s="10"/>
    </row>
    <row r="130" spans="1:11" ht="18.899999999999999" customHeight="1">
      <c r="A130" s="8"/>
      <c r="B130" s="111" t="s">
        <v>35</v>
      </c>
      <c r="C130" s="9"/>
      <c r="D130" s="111" t="s">
        <v>36</v>
      </c>
      <c r="E130" s="9"/>
      <c r="F130" s="19" t="s">
        <v>30</v>
      </c>
      <c r="G130" s="10"/>
      <c r="H130" s="8"/>
      <c r="I130" s="9"/>
      <c r="J130" s="10"/>
    </row>
    <row r="131" spans="1:11" ht="16.5" customHeight="1">
      <c r="A131" s="8"/>
      <c r="B131" s="20" t="s">
        <v>92</v>
      </c>
      <c r="C131" s="9"/>
      <c r="D131" s="111" t="s">
        <v>102</v>
      </c>
      <c r="E131" s="9"/>
      <c r="F131" s="25">
        <v>2</v>
      </c>
      <c r="G131" s="10"/>
      <c r="H131" s="8"/>
      <c r="I131" s="25">
        <v>2</v>
      </c>
      <c r="J131" s="10"/>
    </row>
    <row r="132" spans="1:11" ht="21.75" customHeight="1">
      <c r="A132" s="28"/>
      <c r="B132" s="29" t="s">
        <v>111</v>
      </c>
      <c r="C132" s="29"/>
      <c r="D132" s="29"/>
      <c r="E132" s="29"/>
      <c r="F132" s="29"/>
      <c r="G132" s="31"/>
      <c r="H132" s="28"/>
      <c r="I132" s="12">
        <v>8602232.3900000006</v>
      </c>
      <c r="J132" s="30"/>
    </row>
    <row r="133" spans="1:11" ht="32.25" customHeight="1">
      <c r="A133" s="3"/>
      <c r="B133" s="5" t="s">
        <v>40</v>
      </c>
      <c r="C133" s="5"/>
      <c r="D133" s="5"/>
      <c r="E133" s="5"/>
      <c r="F133" s="3" t="s">
        <v>41</v>
      </c>
      <c r="G133" s="5"/>
      <c r="H133" s="5"/>
      <c r="I133" s="5"/>
      <c r="J133" s="7"/>
    </row>
    <row r="134" spans="1:11">
      <c r="A134" s="8"/>
      <c r="B134" s="9" t="s">
        <v>42</v>
      </c>
      <c r="C134" s="9"/>
      <c r="D134" s="9" t="s">
        <v>43</v>
      </c>
      <c r="E134" s="10"/>
      <c r="F134" s="8" t="s">
        <v>83</v>
      </c>
      <c r="G134" s="9"/>
      <c r="H134" s="9"/>
      <c r="I134" s="9" t="s">
        <v>84</v>
      </c>
      <c r="J134" s="10"/>
    </row>
    <row r="135" spans="1:11" ht="7.5" customHeight="1">
      <c r="A135" s="28"/>
      <c r="B135" s="29"/>
      <c r="C135" s="29"/>
      <c r="D135" s="29"/>
      <c r="E135" s="31"/>
      <c r="F135" s="28"/>
      <c r="G135" s="29"/>
      <c r="H135" s="29"/>
      <c r="I135" s="29"/>
      <c r="J135" s="31"/>
    </row>
    <row r="136" spans="1:11" ht="21.75" customHeight="1">
      <c r="A136" s="516" t="s">
        <v>22</v>
      </c>
      <c r="B136" s="517"/>
      <c r="C136" s="517"/>
      <c r="D136" s="517"/>
      <c r="E136" s="517"/>
      <c r="F136" s="517"/>
      <c r="G136" s="518"/>
      <c r="H136" s="516" t="s">
        <v>23</v>
      </c>
      <c r="I136" s="517"/>
      <c r="J136" s="518"/>
      <c r="K136" s="1"/>
    </row>
    <row r="137" spans="1:11" ht="21.75" customHeight="1">
      <c r="A137" s="510" t="s">
        <v>24</v>
      </c>
      <c r="B137" s="511"/>
      <c r="C137" s="511"/>
      <c r="D137" s="511"/>
      <c r="E137" s="511"/>
      <c r="F137" s="511"/>
      <c r="G137" s="512"/>
      <c r="H137" s="513" t="s">
        <v>88</v>
      </c>
      <c r="I137" s="514"/>
      <c r="J137" s="515"/>
    </row>
    <row r="138" spans="1:11" ht="14.25" customHeight="1">
      <c r="A138" s="3"/>
      <c r="B138" s="4"/>
      <c r="C138" s="5"/>
      <c r="D138" s="6"/>
      <c r="E138" s="5"/>
      <c r="F138" s="5"/>
      <c r="G138" s="7"/>
      <c r="H138" s="507" t="s">
        <v>26</v>
      </c>
      <c r="I138" s="508"/>
      <c r="J138" s="509"/>
    </row>
    <row r="139" spans="1:11" ht="18.75" customHeight="1">
      <c r="A139" s="8"/>
      <c r="B139" s="9" t="s">
        <v>86</v>
      </c>
      <c r="C139" s="9"/>
      <c r="D139" s="9"/>
      <c r="E139" s="9"/>
      <c r="F139" s="9"/>
      <c r="G139" s="10"/>
      <c r="H139" s="11"/>
      <c r="I139" s="12">
        <v>6532376.5499999998</v>
      </c>
      <c r="J139" s="13"/>
    </row>
    <row r="140" spans="1:11" ht="17.25" customHeight="1">
      <c r="A140" s="8"/>
      <c r="B140" s="14" t="s">
        <v>27</v>
      </c>
      <c r="C140" s="9"/>
      <c r="D140" s="9"/>
      <c r="E140" s="9"/>
      <c r="F140" s="9"/>
      <c r="G140" s="10"/>
      <c r="H140" s="8"/>
      <c r="I140" s="9"/>
      <c r="J140" s="10"/>
    </row>
    <row r="141" spans="1:11" ht="16.5" customHeight="1">
      <c r="A141" s="8"/>
      <c r="B141" s="15" t="s">
        <v>28</v>
      </c>
      <c r="C141" s="16"/>
      <c r="D141" s="15" t="s">
        <v>29</v>
      </c>
      <c r="E141" s="16"/>
      <c r="F141" s="17" t="s">
        <v>30</v>
      </c>
      <c r="G141" s="10"/>
      <c r="H141" s="8"/>
      <c r="I141" s="9"/>
      <c r="J141" s="10"/>
    </row>
    <row r="142" spans="1:11" ht="16.5" customHeight="1">
      <c r="A142" s="8"/>
      <c r="B142" s="18" t="s">
        <v>31</v>
      </c>
      <c r="C142" s="9"/>
      <c r="D142" s="18" t="s">
        <v>31</v>
      </c>
      <c r="E142" s="9"/>
      <c r="F142" s="18" t="s">
        <v>32</v>
      </c>
      <c r="G142" s="10"/>
      <c r="H142" s="8"/>
      <c r="I142" s="9" t="s">
        <v>33</v>
      </c>
      <c r="J142" s="10"/>
    </row>
    <row r="143" spans="1:11" ht="16.5" customHeight="1">
      <c r="A143" s="8"/>
      <c r="B143" s="18" t="s">
        <v>31</v>
      </c>
      <c r="C143" s="9"/>
      <c r="D143" s="18" t="s">
        <v>31</v>
      </c>
      <c r="E143" s="9"/>
      <c r="F143" s="18" t="s">
        <v>32</v>
      </c>
      <c r="G143" s="10"/>
      <c r="H143" s="8"/>
      <c r="I143" s="9" t="s">
        <v>33</v>
      </c>
      <c r="J143" s="10"/>
    </row>
    <row r="144" spans="1:11">
      <c r="A144" s="8"/>
      <c r="B144" s="14" t="s">
        <v>34</v>
      </c>
      <c r="C144" s="9"/>
      <c r="D144" s="9"/>
      <c r="E144" s="9"/>
      <c r="F144" s="9"/>
      <c r="G144" s="10"/>
      <c r="H144" s="8"/>
      <c r="I144" s="9"/>
      <c r="J144" s="10"/>
    </row>
    <row r="145" spans="1:11" ht="18.899999999999999" customHeight="1">
      <c r="A145" s="8"/>
      <c r="B145" s="111" t="s">
        <v>35</v>
      </c>
      <c r="C145" s="9"/>
      <c r="D145" s="111" t="s">
        <v>36</v>
      </c>
      <c r="E145" s="9"/>
      <c r="F145" s="19" t="s">
        <v>30</v>
      </c>
      <c r="G145" s="10"/>
      <c r="H145" s="8"/>
      <c r="I145" s="9"/>
      <c r="J145" s="10"/>
    </row>
    <row r="146" spans="1:11" ht="18.899999999999999" customHeight="1">
      <c r="A146" s="8"/>
      <c r="B146" s="20"/>
      <c r="C146" s="9"/>
      <c r="D146" s="20"/>
      <c r="E146" s="9"/>
      <c r="F146" s="21"/>
      <c r="G146" s="22"/>
      <c r="H146" s="8"/>
      <c r="I146" s="23"/>
      <c r="J146" s="10"/>
      <c r="K146" s="24"/>
    </row>
    <row r="147" spans="1:11" ht="18.899999999999999" customHeight="1">
      <c r="A147" s="8"/>
      <c r="B147" s="20"/>
      <c r="C147" s="9"/>
      <c r="D147" s="20"/>
      <c r="E147" s="9"/>
      <c r="F147" s="21"/>
      <c r="G147" s="22"/>
      <c r="H147" s="8"/>
      <c r="I147" s="23"/>
      <c r="J147" s="10"/>
      <c r="K147" s="24"/>
    </row>
    <row r="148" spans="1:11" ht="18.899999999999999" customHeight="1">
      <c r="A148" s="8"/>
      <c r="B148" s="20"/>
      <c r="C148" s="9"/>
      <c r="D148" s="20"/>
      <c r="E148" s="9"/>
      <c r="F148" s="21"/>
      <c r="G148" s="22"/>
      <c r="H148" s="8"/>
      <c r="I148" s="23"/>
      <c r="J148" s="10"/>
      <c r="K148" s="24"/>
    </row>
    <row r="149" spans="1:11" ht="18.899999999999999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899999999999999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899999999999999" customHeight="1">
      <c r="A151" s="8"/>
      <c r="B151" s="20"/>
      <c r="C151" s="9"/>
      <c r="D151" s="20"/>
      <c r="E151" s="9"/>
      <c r="F151" s="21"/>
      <c r="G151" s="22"/>
      <c r="H151" s="9"/>
      <c r="I151" s="23"/>
      <c r="J151" s="10"/>
      <c r="K151" s="24"/>
    </row>
    <row r="152" spans="1:11" ht="18.899999999999999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899999999999999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899999999999999" customHeight="1">
      <c r="A154" s="8"/>
      <c r="B154" s="20"/>
      <c r="C154" s="9"/>
      <c r="D154" s="20"/>
      <c r="E154" s="9"/>
      <c r="F154" s="21"/>
      <c r="G154" s="22"/>
      <c r="H154" s="9"/>
      <c r="I154" s="23">
        <v>12158.25</v>
      </c>
      <c r="J154" s="10"/>
      <c r="K154" s="24"/>
    </row>
    <row r="155" spans="1:11" ht="18.899999999999999" customHeight="1">
      <c r="A155" s="8"/>
      <c r="B155" s="20"/>
      <c r="C155" s="9"/>
      <c r="D155" s="20"/>
      <c r="E155" s="9"/>
      <c r="F155" s="21"/>
      <c r="G155" s="22"/>
      <c r="H155" s="9"/>
      <c r="I155" s="23"/>
      <c r="J155" s="10"/>
      <c r="K155" s="24"/>
    </row>
    <row r="156" spans="1:11" ht="18.899999999999999" customHeight="1">
      <c r="A156" s="8"/>
      <c r="B156" s="20"/>
      <c r="C156" s="9"/>
      <c r="D156" s="20"/>
      <c r="E156" s="9"/>
      <c r="F156" s="21"/>
      <c r="G156" s="22"/>
      <c r="H156" s="9"/>
      <c r="I156" s="23"/>
      <c r="J156" s="10"/>
      <c r="K156" s="24"/>
    </row>
    <row r="157" spans="1:11" ht="18.899999999999999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899999999999999" customHeight="1">
      <c r="A158" s="8"/>
      <c r="B158" s="20"/>
      <c r="C158" s="9"/>
      <c r="D158" s="20"/>
      <c r="E158" s="9"/>
      <c r="F158" s="21"/>
      <c r="G158" s="22"/>
      <c r="H158" s="9"/>
      <c r="I158" s="9"/>
      <c r="J158" s="10"/>
    </row>
    <row r="159" spans="1:11" ht="18.899999999999999" customHeight="1">
      <c r="A159" s="8"/>
      <c r="B159" s="20"/>
      <c r="C159" s="9"/>
      <c r="D159" s="20"/>
      <c r="E159" s="9"/>
      <c r="F159" s="21"/>
      <c r="G159" s="22"/>
      <c r="H159" s="9"/>
      <c r="I159" s="9"/>
      <c r="J159" s="10"/>
    </row>
    <row r="160" spans="1:11" ht="18.899999999999999" customHeight="1">
      <c r="A160" s="8"/>
      <c r="B160" s="20"/>
      <c r="C160" s="9"/>
      <c r="D160" s="20"/>
      <c r="E160" s="9"/>
      <c r="F160" s="21"/>
      <c r="G160" s="22"/>
      <c r="H160" s="9"/>
      <c r="I160" s="9"/>
      <c r="J160" s="10"/>
    </row>
    <row r="161" spans="1:12" ht="18.899999999999999" customHeight="1">
      <c r="A161" s="8"/>
      <c r="B161" s="20"/>
      <c r="C161" s="9"/>
      <c r="D161" s="20"/>
      <c r="E161" s="9"/>
      <c r="F161" s="25"/>
      <c r="G161" s="10"/>
      <c r="H161" s="9"/>
      <c r="I161" s="9"/>
      <c r="J161" s="10"/>
    </row>
    <row r="162" spans="1:12" ht="18.899999999999999" customHeight="1">
      <c r="A162" s="8"/>
      <c r="B162" s="20"/>
      <c r="C162" s="9"/>
      <c r="D162" s="20"/>
      <c r="E162" s="9"/>
      <c r="F162" s="25"/>
      <c r="G162" s="10"/>
      <c r="H162" s="9"/>
      <c r="I162" s="9"/>
      <c r="J162" s="10"/>
    </row>
    <row r="163" spans="1:12" ht="18.899999999999999" customHeight="1">
      <c r="A163" s="8"/>
      <c r="B163" s="20"/>
      <c r="C163" s="9"/>
      <c r="D163" s="20"/>
      <c r="E163" s="9"/>
      <c r="F163" s="25"/>
      <c r="G163" s="10"/>
      <c r="H163" s="9"/>
      <c r="I163" s="9"/>
      <c r="J163" s="10"/>
    </row>
    <row r="164" spans="1:12" ht="18.899999999999999" customHeight="1">
      <c r="A164" s="8"/>
      <c r="B164" s="20"/>
      <c r="D164" s="20"/>
      <c r="F164" s="26"/>
      <c r="G164" s="10"/>
      <c r="I164" s="27"/>
      <c r="J164" s="10"/>
    </row>
    <row r="165" spans="1:12">
      <c r="A165" s="8"/>
      <c r="B165" s="14" t="s">
        <v>37</v>
      </c>
      <c r="C165" s="9"/>
      <c r="D165" s="9"/>
      <c r="E165" s="9"/>
      <c r="F165" s="9"/>
      <c r="G165" s="10"/>
      <c r="H165" s="8"/>
      <c r="I165" s="9"/>
      <c r="J165" s="10"/>
    </row>
    <row r="166" spans="1:12">
      <c r="A166" s="8"/>
      <c r="B166" s="14" t="s">
        <v>38</v>
      </c>
      <c r="C166" s="9"/>
      <c r="D166" s="9"/>
      <c r="E166" s="9"/>
      <c r="F166" s="9"/>
      <c r="G166" s="10"/>
      <c r="H166" s="8"/>
      <c r="I166" s="9"/>
      <c r="J166" s="10"/>
      <c r="L166" s="2">
        <f>SUM(L157)</f>
        <v>0</v>
      </c>
    </row>
    <row r="167" spans="1:12" ht="19.5" customHeight="1">
      <c r="A167" s="8"/>
      <c r="B167" s="18" t="s">
        <v>39</v>
      </c>
      <c r="C167" s="9"/>
      <c r="D167" s="18" t="s">
        <v>31</v>
      </c>
      <c r="E167" s="9"/>
      <c r="F167" s="18" t="s">
        <v>32</v>
      </c>
      <c r="G167" s="10"/>
      <c r="H167" s="8"/>
      <c r="I167" s="9" t="s">
        <v>33</v>
      </c>
      <c r="J167" s="10"/>
    </row>
    <row r="168" spans="1:12" ht="16.5" customHeight="1">
      <c r="A168" s="8"/>
      <c r="B168" s="18" t="s">
        <v>31</v>
      </c>
      <c r="C168" s="9"/>
      <c r="D168" s="18" t="s">
        <v>31</v>
      </c>
      <c r="E168" s="9"/>
      <c r="F168" s="18" t="s">
        <v>32</v>
      </c>
      <c r="G168" s="10"/>
      <c r="H168" s="8"/>
      <c r="I168" s="9" t="s">
        <v>33</v>
      </c>
      <c r="J168" s="10"/>
    </row>
    <row r="169" spans="1:12" ht="21.75" customHeight="1">
      <c r="A169" s="28"/>
      <c r="B169" s="29" t="s">
        <v>87</v>
      </c>
      <c r="C169" s="29"/>
      <c r="D169" s="29"/>
      <c r="E169" s="29"/>
      <c r="F169" s="29"/>
      <c r="G169" s="31"/>
      <c r="H169" s="28"/>
      <c r="I169" s="12">
        <v>6520225.8099999996</v>
      </c>
      <c r="J169" s="30"/>
    </row>
    <row r="170" spans="1:12" ht="32.25" customHeight="1">
      <c r="A170" s="8"/>
      <c r="B170" s="9" t="s">
        <v>40</v>
      </c>
      <c r="C170" s="9"/>
      <c r="D170" s="9"/>
      <c r="E170" s="9"/>
      <c r="F170" s="3" t="s">
        <v>41</v>
      </c>
      <c r="G170" s="5"/>
      <c r="H170" s="5"/>
      <c r="I170" s="5"/>
      <c r="J170" s="7"/>
    </row>
    <row r="171" spans="1:12">
      <c r="A171" s="8"/>
      <c r="B171" s="9" t="s">
        <v>42</v>
      </c>
      <c r="C171" s="9"/>
      <c r="D171" s="9" t="s">
        <v>43</v>
      </c>
      <c r="E171" s="9"/>
      <c r="F171" s="8" t="s">
        <v>83</v>
      </c>
      <c r="G171" s="9"/>
      <c r="I171" s="9" t="s">
        <v>84</v>
      </c>
      <c r="J171" s="10"/>
    </row>
    <row r="172" spans="1:12" ht="27" customHeight="1">
      <c r="A172" s="28"/>
      <c r="B172" s="29" t="s">
        <v>44</v>
      </c>
      <c r="C172" s="29"/>
      <c r="D172" s="29"/>
      <c r="E172" s="29"/>
      <c r="F172" s="28" t="s">
        <v>45</v>
      </c>
      <c r="G172" s="29"/>
      <c r="H172" s="29"/>
      <c r="I172" s="29"/>
      <c r="J172" s="31"/>
    </row>
  </sheetData>
  <mergeCells count="28">
    <mergeCell ref="B38:D38"/>
    <mergeCell ref="F38:I38"/>
    <mergeCell ref="A1:G1"/>
    <mergeCell ref="H1:J1"/>
    <mergeCell ref="A2:G2"/>
    <mergeCell ref="H2:J2"/>
    <mergeCell ref="H3:J3"/>
    <mergeCell ref="E4:F4"/>
    <mergeCell ref="E36:F36"/>
    <mergeCell ref="B39:D39"/>
    <mergeCell ref="F39:I39"/>
    <mergeCell ref="B40:D40"/>
    <mergeCell ref="F40:I40"/>
    <mergeCell ref="A61:G61"/>
    <mergeCell ref="H61:J61"/>
    <mergeCell ref="H138:J138"/>
    <mergeCell ref="A62:G62"/>
    <mergeCell ref="H62:J62"/>
    <mergeCell ref="H63:J63"/>
    <mergeCell ref="A98:G98"/>
    <mergeCell ref="H98:J98"/>
    <mergeCell ref="A99:G99"/>
    <mergeCell ref="H99:J99"/>
    <mergeCell ref="H100:J100"/>
    <mergeCell ref="A136:G136"/>
    <mergeCell ref="H136:J136"/>
    <mergeCell ref="A137:G137"/>
    <mergeCell ref="H137:J137"/>
  </mergeCells>
  <pageMargins left="0.74803149606299213" right="0.51181102362204722" top="0.98425196850393704" bottom="0.7480314960629921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Z190"/>
  <sheetViews>
    <sheetView tabSelected="1" zoomScale="80" zoomScaleNormal="80" zoomScaleSheetLayoutView="80" workbookViewId="0">
      <pane xSplit="1" ySplit="5" topLeftCell="B183" activePane="bottomRight" state="frozen"/>
      <selection pane="topRight" activeCell="B1" sqref="B1"/>
      <selection pane="bottomLeft" activeCell="A6" sqref="A6"/>
      <selection pane="bottomRight" activeCell="G195" sqref="G195"/>
    </sheetView>
  </sheetViews>
  <sheetFormatPr defaultColWidth="9.109375" defaultRowHeight="20.25" customHeight="1"/>
  <cols>
    <col min="1" max="1" width="11.44140625" style="157" customWidth="1"/>
    <col min="2" max="3" width="12" style="125" bestFit="1" customWidth="1"/>
    <col min="4" max="4" width="10.6640625" style="125" customWidth="1"/>
    <col min="5" max="5" width="9.5546875" style="125" bestFit="1" customWidth="1"/>
    <col min="6" max="6" width="12" style="125" bestFit="1" customWidth="1"/>
    <col min="7" max="7" width="11" style="125" bestFit="1" customWidth="1"/>
    <col min="8" max="8" width="6.88671875" style="125" bestFit="1" customWidth="1"/>
    <col min="9" max="9" width="9.33203125" style="125" bestFit="1" customWidth="1"/>
    <col min="10" max="11" width="6.88671875" style="125" bestFit="1" customWidth="1"/>
    <col min="12" max="12" width="6.6640625" style="125" bestFit="1" customWidth="1"/>
    <col min="13" max="13" width="12" style="125" bestFit="1" customWidth="1"/>
    <col min="14" max="15" width="6.6640625" style="125" bestFit="1" customWidth="1"/>
    <col min="16" max="16" width="9.5546875" style="125" bestFit="1" customWidth="1"/>
    <col min="17" max="17" width="6.6640625" style="125" bestFit="1" customWidth="1"/>
    <col min="18" max="18" width="9.5546875" style="125" bestFit="1" customWidth="1"/>
    <col min="19" max="20" width="10.5546875" style="125" bestFit="1" customWidth="1"/>
    <col min="21" max="21" width="7.33203125" style="125" bestFit="1" customWidth="1"/>
    <col min="22" max="22" width="6.6640625" style="125" bestFit="1" customWidth="1"/>
    <col min="23" max="23" width="6.6640625" style="125" customWidth="1"/>
    <col min="24" max="25" width="10.5546875" style="125" bestFit="1" customWidth="1"/>
    <col min="26" max="26" width="11.88671875" style="125" bestFit="1" customWidth="1"/>
    <col min="27" max="16384" width="9.109375" style="125"/>
  </cols>
  <sheetData>
    <row r="1" spans="1:26" ht="20.25" customHeight="1">
      <c r="A1" s="524" t="s">
        <v>197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4"/>
      <c r="Y1" s="524"/>
      <c r="Z1" s="524"/>
    </row>
    <row r="2" spans="1:26" ht="20.25" customHeight="1">
      <c r="A2" s="524" t="s">
        <v>198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</row>
    <row r="3" spans="1:26" ht="20.25" customHeight="1" thickBot="1">
      <c r="A3" s="523" t="s">
        <v>432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  <c r="T3" s="523"/>
      <c r="U3" s="523"/>
      <c r="V3" s="523"/>
      <c r="W3" s="523"/>
      <c r="X3" s="523"/>
      <c r="Y3" s="523"/>
      <c r="Z3" s="523"/>
    </row>
    <row r="4" spans="1:26" ht="20.25" customHeight="1">
      <c r="A4" s="343" t="s">
        <v>199</v>
      </c>
      <c r="B4" s="525" t="s">
        <v>200</v>
      </c>
      <c r="C4" s="525"/>
      <c r="D4" s="525" t="s">
        <v>201</v>
      </c>
      <c r="E4" s="525"/>
      <c r="F4" s="525" t="s">
        <v>202</v>
      </c>
      <c r="G4" s="525"/>
      <c r="H4" s="525"/>
      <c r="I4" s="525" t="s">
        <v>203</v>
      </c>
      <c r="J4" s="525"/>
      <c r="K4" s="525" t="s">
        <v>204</v>
      </c>
      <c r="L4" s="525"/>
      <c r="M4" s="526" t="s">
        <v>205</v>
      </c>
      <c r="N4" s="527"/>
      <c r="O4" s="528"/>
      <c r="P4" s="525" t="s">
        <v>206</v>
      </c>
      <c r="Q4" s="525"/>
      <c r="R4" s="525" t="s">
        <v>207</v>
      </c>
      <c r="S4" s="525"/>
      <c r="T4" s="525"/>
      <c r="U4" s="127" t="s">
        <v>208</v>
      </c>
      <c r="V4" s="525" t="s">
        <v>209</v>
      </c>
      <c r="W4" s="525"/>
      <c r="X4" s="127" t="s">
        <v>210</v>
      </c>
      <c r="Y4" s="127" t="s">
        <v>211</v>
      </c>
      <c r="Z4" s="529" t="s">
        <v>54</v>
      </c>
    </row>
    <row r="5" spans="1:26" ht="20.25" customHeight="1" thickBot="1">
      <c r="A5" s="344" t="s">
        <v>212</v>
      </c>
      <c r="B5" s="129" t="s">
        <v>213</v>
      </c>
      <c r="C5" s="129" t="s">
        <v>214</v>
      </c>
      <c r="D5" s="129" t="s">
        <v>215</v>
      </c>
      <c r="E5" s="129" t="s">
        <v>216</v>
      </c>
      <c r="F5" s="129" t="s">
        <v>217</v>
      </c>
      <c r="G5" s="129" t="s">
        <v>218</v>
      </c>
      <c r="H5" s="129" t="s">
        <v>219</v>
      </c>
      <c r="I5" s="129" t="s">
        <v>220</v>
      </c>
      <c r="J5" s="129" t="s">
        <v>221</v>
      </c>
      <c r="K5" s="129" t="s">
        <v>222</v>
      </c>
      <c r="L5" s="129" t="s">
        <v>223</v>
      </c>
      <c r="M5" s="130" t="s">
        <v>224</v>
      </c>
      <c r="N5" s="129" t="s">
        <v>225</v>
      </c>
      <c r="O5" s="129" t="s">
        <v>226</v>
      </c>
      <c r="P5" s="129" t="s">
        <v>227</v>
      </c>
      <c r="Q5" s="129" t="s">
        <v>228</v>
      </c>
      <c r="R5" s="129" t="s">
        <v>229</v>
      </c>
      <c r="S5" s="129" t="s">
        <v>230</v>
      </c>
      <c r="T5" s="129" t="s">
        <v>231</v>
      </c>
      <c r="U5" s="129" t="s">
        <v>232</v>
      </c>
      <c r="V5" s="129" t="s">
        <v>233</v>
      </c>
      <c r="W5" s="129" t="s">
        <v>234</v>
      </c>
      <c r="X5" s="129" t="s">
        <v>235</v>
      </c>
      <c r="Y5" s="129" t="s">
        <v>236</v>
      </c>
      <c r="Z5" s="530"/>
    </row>
    <row r="6" spans="1:26" ht="20.25" customHeight="1">
      <c r="A6" s="345" t="s">
        <v>55</v>
      </c>
      <c r="B6" s="131">
        <v>0</v>
      </c>
      <c r="C6" s="131">
        <v>0</v>
      </c>
      <c r="D6" s="131">
        <v>0</v>
      </c>
      <c r="E6" s="131">
        <v>0</v>
      </c>
      <c r="F6" s="131">
        <v>0</v>
      </c>
      <c r="G6" s="131">
        <v>0</v>
      </c>
      <c r="H6" s="131">
        <v>0</v>
      </c>
      <c r="I6" s="131">
        <v>0</v>
      </c>
      <c r="J6" s="131">
        <v>0</v>
      </c>
      <c r="K6" s="131">
        <v>0</v>
      </c>
      <c r="L6" s="131">
        <v>0</v>
      </c>
      <c r="M6" s="131">
        <v>0</v>
      </c>
      <c r="N6" s="131">
        <v>0</v>
      </c>
      <c r="O6" s="131">
        <v>0</v>
      </c>
      <c r="P6" s="131">
        <v>0</v>
      </c>
      <c r="Q6" s="131">
        <v>0</v>
      </c>
      <c r="R6" s="131">
        <v>0</v>
      </c>
      <c r="S6" s="131">
        <v>0</v>
      </c>
      <c r="T6" s="131">
        <v>0</v>
      </c>
      <c r="U6" s="131">
        <v>0</v>
      </c>
      <c r="V6" s="131">
        <v>0</v>
      </c>
      <c r="W6" s="131">
        <v>0</v>
      </c>
      <c r="X6" s="131">
        <v>0</v>
      </c>
      <c r="Y6" s="132">
        <v>376392.7</v>
      </c>
      <c r="Z6" s="133">
        <f>SUM(B6:Y6)</f>
        <v>376392.7</v>
      </c>
    </row>
    <row r="7" spans="1:26" ht="20.25" customHeight="1">
      <c r="A7" s="346">
        <v>510000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3">
        <f>SUM(B7:Y7)</f>
        <v>0</v>
      </c>
    </row>
    <row r="8" spans="1:26" ht="20.25" customHeight="1">
      <c r="A8" s="331" t="s">
        <v>295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6">
        <v>5041</v>
      </c>
      <c r="Z8" s="133">
        <f>SUM(B8:Y8)</f>
        <v>5041</v>
      </c>
    </row>
    <row r="9" spans="1:26" ht="20.25" customHeight="1">
      <c r="A9" s="331" t="s">
        <v>296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6">
        <v>0</v>
      </c>
      <c r="Z9" s="133"/>
    </row>
    <row r="10" spans="1:26" ht="20.25" customHeight="1">
      <c r="A10" s="331" t="s">
        <v>297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6"/>
      <c r="Z10" s="133">
        <f t="shared" ref="Z10:Z17" si="0">SUM(B10:Y10)</f>
        <v>0</v>
      </c>
    </row>
    <row r="11" spans="1:26" ht="20.25" customHeight="1">
      <c r="A11" s="331" t="s">
        <v>298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6">
        <v>5000</v>
      </c>
      <c r="Z11" s="133">
        <f t="shared" si="0"/>
        <v>5000</v>
      </c>
    </row>
    <row r="12" spans="1:26" ht="20.25" customHeight="1">
      <c r="A12" s="331" t="s">
        <v>371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6">
        <v>0</v>
      </c>
      <c r="Z12" s="133">
        <f t="shared" si="0"/>
        <v>0</v>
      </c>
    </row>
    <row r="13" spans="1:26" ht="20.25" customHeight="1">
      <c r="A13" s="331" t="s">
        <v>299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6">
        <v>0</v>
      </c>
      <c r="Z13" s="133">
        <f t="shared" si="0"/>
        <v>0</v>
      </c>
    </row>
    <row r="14" spans="1:26" ht="20.25" customHeight="1">
      <c r="A14" s="331" t="s">
        <v>300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6">
        <v>0</v>
      </c>
      <c r="Z14" s="133">
        <f t="shared" si="0"/>
        <v>0</v>
      </c>
    </row>
    <row r="15" spans="1:26" ht="20.25" customHeight="1">
      <c r="A15" s="339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6">
        <v>0</v>
      </c>
      <c r="Z15" s="133">
        <f t="shared" si="0"/>
        <v>0</v>
      </c>
    </row>
    <row r="16" spans="1:26" ht="20.25" customHeight="1" thickBot="1">
      <c r="A16" s="339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7">
        <v>0</v>
      </c>
      <c r="Z16" s="133">
        <f t="shared" si="0"/>
        <v>0</v>
      </c>
    </row>
    <row r="17" spans="1:27" ht="20.25" customHeight="1">
      <c r="A17" s="343" t="s">
        <v>237</v>
      </c>
      <c r="B17" s="138">
        <f t="shared" ref="B17:X17" si="1">SUM(B7:B16)</f>
        <v>0</v>
      </c>
      <c r="C17" s="138">
        <f t="shared" si="1"/>
        <v>0</v>
      </c>
      <c r="D17" s="138">
        <f t="shared" si="1"/>
        <v>0</v>
      </c>
      <c r="E17" s="138">
        <f t="shared" si="1"/>
        <v>0</v>
      </c>
      <c r="F17" s="138">
        <f t="shared" si="1"/>
        <v>0</v>
      </c>
      <c r="G17" s="138">
        <f t="shared" si="1"/>
        <v>0</v>
      </c>
      <c r="H17" s="138">
        <f t="shared" si="1"/>
        <v>0</v>
      </c>
      <c r="I17" s="138">
        <f t="shared" si="1"/>
        <v>0</v>
      </c>
      <c r="J17" s="138">
        <f t="shared" si="1"/>
        <v>0</v>
      </c>
      <c r="K17" s="138">
        <f t="shared" si="1"/>
        <v>0</v>
      </c>
      <c r="L17" s="138">
        <f t="shared" si="1"/>
        <v>0</v>
      </c>
      <c r="M17" s="138">
        <f t="shared" si="1"/>
        <v>0</v>
      </c>
      <c r="N17" s="138">
        <f t="shared" si="1"/>
        <v>0</v>
      </c>
      <c r="O17" s="138">
        <f t="shared" si="1"/>
        <v>0</v>
      </c>
      <c r="P17" s="138">
        <f t="shared" si="1"/>
        <v>0</v>
      </c>
      <c r="Q17" s="138">
        <f t="shared" si="1"/>
        <v>0</v>
      </c>
      <c r="R17" s="138">
        <f t="shared" si="1"/>
        <v>0</v>
      </c>
      <c r="S17" s="138">
        <f t="shared" si="1"/>
        <v>0</v>
      </c>
      <c r="T17" s="138">
        <f t="shared" si="1"/>
        <v>0</v>
      </c>
      <c r="U17" s="138">
        <f t="shared" si="1"/>
        <v>0</v>
      </c>
      <c r="V17" s="138">
        <f t="shared" si="1"/>
        <v>0</v>
      </c>
      <c r="W17" s="138">
        <f t="shared" si="1"/>
        <v>0</v>
      </c>
      <c r="X17" s="138">
        <f t="shared" si="1"/>
        <v>0</v>
      </c>
      <c r="Y17" s="139">
        <f>SUM(Y8:Y16)</f>
        <v>10041</v>
      </c>
      <c r="Z17" s="140">
        <f t="shared" si="0"/>
        <v>10041</v>
      </c>
      <c r="AA17" s="141"/>
    </row>
    <row r="18" spans="1:27" ht="20.25" customHeight="1" thickBot="1">
      <c r="A18" s="344" t="s">
        <v>238</v>
      </c>
      <c r="B18" s="137">
        <f t="shared" ref="B18:Z18" si="2">B6+B17</f>
        <v>0</v>
      </c>
      <c r="C18" s="137">
        <f t="shared" si="2"/>
        <v>0</v>
      </c>
      <c r="D18" s="137">
        <f t="shared" si="2"/>
        <v>0</v>
      </c>
      <c r="E18" s="137">
        <f t="shared" si="2"/>
        <v>0</v>
      </c>
      <c r="F18" s="137">
        <f t="shared" si="2"/>
        <v>0</v>
      </c>
      <c r="G18" s="137">
        <f t="shared" si="2"/>
        <v>0</v>
      </c>
      <c r="H18" s="137">
        <f t="shared" si="2"/>
        <v>0</v>
      </c>
      <c r="I18" s="137">
        <f t="shared" si="2"/>
        <v>0</v>
      </c>
      <c r="J18" s="137">
        <f t="shared" si="2"/>
        <v>0</v>
      </c>
      <c r="K18" s="137">
        <f t="shared" si="2"/>
        <v>0</v>
      </c>
      <c r="L18" s="137">
        <f t="shared" si="2"/>
        <v>0</v>
      </c>
      <c r="M18" s="137">
        <f t="shared" si="2"/>
        <v>0</v>
      </c>
      <c r="N18" s="137">
        <f t="shared" si="2"/>
        <v>0</v>
      </c>
      <c r="O18" s="137">
        <f t="shared" si="2"/>
        <v>0</v>
      </c>
      <c r="P18" s="137">
        <f t="shared" si="2"/>
        <v>0</v>
      </c>
      <c r="Q18" s="137">
        <f t="shared" si="2"/>
        <v>0</v>
      </c>
      <c r="R18" s="137">
        <f t="shared" si="2"/>
        <v>0</v>
      </c>
      <c r="S18" s="137">
        <f t="shared" si="2"/>
        <v>0</v>
      </c>
      <c r="T18" s="137">
        <f t="shared" si="2"/>
        <v>0</v>
      </c>
      <c r="U18" s="137">
        <f t="shared" si="2"/>
        <v>0</v>
      </c>
      <c r="V18" s="137">
        <f t="shared" si="2"/>
        <v>0</v>
      </c>
      <c r="W18" s="137">
        <f t="shared" si="2"/>
        <v>0</v>
      </c>
      <c r="X18" s="137">
        <f t="shared" si="2"/>
        <v>0</v>
      </c>
      <c r="Y18" s="137">
        <f t="shared" si="2"/>
        <v>386433.7</v>
      </c>
      <c r="Z18" s="137">
        <f t="shared" si="2"/>
        <v>386433.7</v>
      </c>
    </row>
    <row r="19" spans="1:27" ht="20.25" customHeight="1">
      <c r="A19" s="347" t="s">
        <v>55</v>
      </c>
      <c r="B19" s="131">
        <v>1026360</v>
      </c>
      <c r="C19" s="131">
        <v>0</v>
      </c>
      <c r="D19" s="131">
        <v>0</v>
      </c>
      <c r="E19" s="131">
        <v>0</v>
      </c>
      <c r="F19" s="131">
        <v>0</v>
      </c>
      <c r="G19" s="131">
        <v>0</v>
      </c>
      <c r="H19" s="131">
        <v>0</v>
      </c>
      <c r="I19" s="131">
        <v>0</v>
      </c>
      <c r="J19" s="131">
        <v>0</v>
      </c>
      <c r="K19" s="131">
        <v>0</v>
      </c>
      <c r="L19" s="131">
        <v>0</v>
      </c>
      <c r="M19" s="138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0</v>
      </c>
      <c r="W19" s="131">
        <v>0</v>
      </c>
      <c r="X19" s="131">
        <v>0</v>
      </c>
      <c r="Y19" s="131">
        <v>0</v>
      </c>
      <c r="Z19" s="133">
        <f t="shared" ref="Z19:Z25" si="3">SUM(B19:Y19)</f>
        <v>1026360</v>
      </c>
    </row>
    <row r="20" spans="1:27" ht="20.25" customHeight="1">
      <c r="A20" s="346">
        <v>521000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1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3">
        <f t="shared" si="3"/>
        <v>0</v>
      </c>
    </row>
    <row r="21" spans="1:27" ht="20.25" customHeight="1">
      <c r="A21" s="331" t="s">
        <v>302</v>
      </c>
      <c r="B21" s="134">
        <v>42840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3">
        <f t="shared" si="3"/>
        <v>42840</v>
      </c>
    </row>
    <row r="22" spans="1:27" ht="20.25" customHeight="1">
      <c r="A22" s="331" t="s">
        <v>303</v>
      </c>
      <c r="B22" s="134">
        <v>3510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3">
        <f t="shared" si="3"/>
        <v>3510</v>
      </c>
    </row>
    <row r="23" spans="1:27" ht="20.25" customHeight="1">
      <c r="A23" s="331" t="s">
        <v>186</v>
      </c>
      <c r="B23" s="134">
        <v>3510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3">
        <f t="shared" si="3"/>
        <v>3510</v>
      </c>
    </row>
    <row r="24" spans="1:27" ht="20.25" customHeight="1">
      <c r="A24" s="331" t="s">
        <v>166</v>
      </c>
      <c r="B24" s="142">
        <v>7200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3">
        <f t="shared" si="3"/>
        <v>7200</v>
      </c>
    </row>
    <row r="25" spans="1:27" ht="20.25" customHeight="1" thickBot="1">
      <c r="A25" s="332" t="s">
        <v>187</v>
      </c>
      <c r="B25" s="134">
        <v>114000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3">
        <f t="shared" si="3"/>
        <v>114000</v>
      </c>
    </row>
    <row r="26" spans="1:27" ht="20.25" customHeight="1">
      <c r="A26" s="343" t="s">
        <v>237</v>
      </c>
      <c r="B26" s="138">
        <f>SUM(B21:B25)</f>
        <v>171060</v>
      </c>
      <c r="C26" s="138">
        <f t="shared" ref="C26:L26" si="4">SUM(C21:C24)</f>
        <v>0</v>
      </c>
      <c r="D26" s="138">
        <f t="shared" si="4"/>
        <v>0</v>
      </c>
      <c r="E26" s="138">
        <f t="shared" si="4"/>
        <v>0</v>
      </c>
      <c r="F26" s="138">
        <f t="shared" si="4"/>
        <v>0</v>
      </c>
      <c r="G26" s="138">
        <f t="shared" si="4"/>
        <v>0</v>
      </c>
      <c r="H26" s="138">
        <f t="shared" si="4"/>
        <v>0</v>
      </c>
      <c r="I26" s="138">
        <f t="shared" si="4"/>
        <v>0</v>
      </c>
      <c r="J26" s="138">
        <f t="shared" si="4"/>
        <v>0</v>
      </c>
      <c r="K26" s="138">
        <f t="shared" si="4"/>
        <v>0</v>
      </c>
      <c r="L26" s="138">
        <f t="shared" si="4"/>
        <v>0</v>
      </c>
      <c r="M26" s="138">
        <f t="shared" ref="M26:Y26" si="5">SUM(M22:M24)</f>
        <v>0</v>
      </c>
      <c r="N26" s="138">
        <f t="shared" si="5"/>
        <v>0</v>
      </c>
      <c r="O26" s="138">
        <f t="shared" si="5"/>
        <v>0</v>
      </c>
      <c r="P26" s="138">
        <f t="shared" si="5"/>
        <v>0</v>
      </c>
      <c r="Q26" s="138">
        <f t="shared" si="5"/>
        <v>0</v>
      </c>
      <c r="R26" s="138">
        <f t="shared" si="5"/>
        <v>0</v>
      </c>
      <c r="S26" s="138">
        <f t="shared" si="5"/>
        <v>0</v>
      </c>
      <c r="T26" s="138">
        <f t="shared" si="5"/>
        <v>0</v>
      </c>
      <c r="U26" s="138">
        <f t="shared" si="5"/>
        <v>0</v>
      </c>
      <c r="V26" s="138">
        <f t="shared" si="5"/>
        <v>0</v>
      </c>
      <c r="W26" s="138">
        <f t="shared" si="5"/>
        <v>0</v>
      </c>
      <c r="X26" s="138">
        <f t="shared" si="5"/>
        <v>0</v>
      </c>
      <c r="Y26" s="138">
        <f t="shared" si="5"/>
        <v>0</v>
      </c>
      <c r="Z26" s="140">
        <f>SUM(Z20:Z25)</f>
        <v>171060</v>
      </c>
    </row>
    <row r="27" spans="1:27" ht="20.25" customHeight="1" thickBot="1">
      <c r="A27" s="344" t="s">
        <v>238</v>
      </c>
      <c r="B27" s="137">
        <f t="shared" ref="B27:Z27" si="6">B19+B26</f>
        <v>1197420</v>
      </c>
      <c r="C27" s="137">
        <f t="shared" si="6"/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7">
        <f t="shared" si="6"/>
        <v>0</v>
      </c>
      <c r="L27" s="137">
        <f t="shared" si="6"/>
        <v>0</v>
      </c>
      <c r="M27" s="137">
        <f t="shared" si="6"/>
        <v>0</v>
      </c>
      <c r="N27" s="137">
        <f t="shared" si="6"/>
        <v>0</v>
      </c>
      <c r="O27" s="137">
        <f t="shared" si="6"/>
        <v>0</v>
      </c>
      <c r="P27" s="137">
        <f t="shared" si="6"/>
        <v>0</v>
      </c>
      <c r="Q27" s="137">
        <f t="shared" si="6"/>
        <v>0</v>
      </c>
      <c r="R27" s="137">
        <f t="shared" si="6"/>
        <v>0</v>
      </c>
      <c r="S27" s="137">
        <f t="shared" si="6"/>
        <v>0</v>
      </c>
      <c r="T27" s="137">
        <f t="shared" si="6"/>
        <v>0</v>
      </c>
      <c r="U27" s="137">
        <f t="shared" si="6"/>
        <v>0</v>
      </c>
      <c r="V27" s="137">
        <f t="shared" si="6"/>
        <v>0</v>
      </c>
      <c r="W27" s="137">
        <f t="shared" si="6"/>
        <v>0</v>
      </c>
      <c r="X27" s="137">
        <f t="shared" si="6"/>
        <v>0</v>
      </c>
      <c r="Y27" s="137">
        <f t="shared" si="6"/>
        <v>0</v>
      </c>
      <c r="Z27" s="144">
        <f t="shared" si="6"/>
        <v>1197420</v>
      </c>
    </row>
    <row r="28" spans="1:27" ht="20.25" customHeight="1">
      <c r="A28" s="347" t="s">
        <v>55</v>
      </c>
      <c r="B28" s="134">
        <v>1448272</v>
      </c>
      <c r="C28" s="134">
        <v>582679</v>
      </c>
      <c r="D28" s="131"/>
      <c r="E28" s="131"/>
      <c r="F28" s="131">
        <v>115200</v>
      </c>
      <c r="G28" s="131"/>
      <c r="H28" s="131"/>
      <c r="I28" s="131"/>
      <c r="J28" s="131"/>
      <c r="K28" s="131"/>
      <c r="L28" s="131"/>
      <c r="M28" s="134">
        <v>408271</v>
      </c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3">
        <f t="shared" ref="Z28:Z37" si="7">SUM(B28:Y28)</f>
        <v>2554422</v>
      </c>
    </row>
    <row r="29" spans="1:27" ht="20.25" customHeight="1">
      <c r="A29" s="346">
        <v>522000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3">
        <f t="shared" si="7"/>
        <v>0</v>
      </c>
    </row>
    <row r="30" spans="1:27" ht="20.25" customHeight="1">
      <c r="A30" s="331" t="s">
        <v>304</v>
      </c>
      <c r="B30" s="136">
        <v>161950</v>
      </c>
      <c r="C30" s="136">
        <v>61750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>
        <v>35010</v>
      </c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3">
        <f t="shared" si="7"/>
        <v>258710</v>
      </c>
    </row>
    <row r="31" spans="1:27" ht="20.25" customHeight="1">
      <c r="A31" s="331" t="s">
        <v>305</v>
      </c>
      <c r="B31" s="134">
        <v>1420</v>
      </c>
      <c r="C31" s="134">
        <v>3770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>
        <v>0</v>
      </c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3">
        <f t="shared" si="7"/>
        <v>5190</v>
      </c>
    </row>
    <row r="32" spans="1:27" ht="20.25" customHeight="1">
      <c r="A32" s="331" t="s">
        <v>306</v>
      </c>
      <c r="B32" s="136">
        <v>14700</v>
      </c>
      <c r="C32" s="136">
        <v>3500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>
        <v>3500</v>
      </c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3">
        <f t="shared" si="7"/>
        <v>21700</v>
      </c>
    </row>
    <row r="33" spans="1:26" ht="20.25" customHeight="1">
      <c r="A33" s="331" t="s">
        <v>307</v>
      </c>
      <c r="B33" s="136">
        <v>9520</v>
      </c>
      <c r="C33" s="136">
        <v>0</v>
      </c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3">
        <f t="shared" si="7"/>
        <v>9520</v>
      </c>
    </row>
    <row r="34" spans="1:26" ht="20.25" customHeight="1">
      <c r="A34" s="331" t="s">
        <v>308</v>
      </c>
      <c r="B34" s="136">
        <v>5480</v>
      </c>
      <c r="C34" s="136">
        <v>0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3">
        <f t="shared" si="7"/>
        <v>5480</v>
      </c>
    </row>
    <row r="35" spans="1:26" ht="20.25" customHeight="1">
      <c r="A35" s="331" t="s">
        <v>309</v>
      </c>
      <c r="B35" s="134">
        <v>16020</v>
      </c>
      <c r="C35" s="134">
        <v>18470</v>
      </c>
      <c r="D35" s="134"/>
      <c r="E35" s="134"/>
      <c r="F35" s="134">
        <v>11880</v>
      </c>
      <c r="G35" s="134"/>
      <c r="H35" s="134"/>
      <c r="I35" s="134"/>
      <c r="J35" s="134"/>
      <c r="K35" s="134"/>
      <c r="L35" s="134"/>
      <c r="M35" s="134">
        <v>18970</v>
      </c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3">
        <f t="shared" si="7"/>
        <v>65340</v>
      </c>
    </row>
    <row r="36" spans="1:26" ht="20.25" customHeight="1">
      <c r="A36" s="333" t="s">
        <v>310</v>
      </c>
      <c r="B36" s="134">
        <v>10980</v>
      </c>
      <c r="C36" s="134">
        <v>8820</v>
      </c>
      <c r="D36" s="134"/>
      <c r="E36" s="134"/>
      <c r="F36" s="134">
        <v>7320</v>
      </c>
      <c r="G36" s="134"/>
      <c r="H36" s="134"/>
      <c r="I36" s="134"/>
      <c r="J36" s="134"/>
      <c r="K36" s="134"/>
      <c r="L36" s="134"/>
      <c r="M36" s="134">
        <v>8340</v>
      </c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43">
        <f t="shared" si="7"/>
        <v>35460</v>
      </c>
    </row>
    <row r="37" spans="1:26" ht="20.25" customHeight="1">
      <c r="A37" s="348" t="s">
        <v>237</v>
      </c>
      <c r="B37" s="131">
        <f t="shared" ref="B37:Y37" si="8">SUM(B30:B36)</f>
        <v>220070</v>
      </c>
      <c r="C37" s="131">
        <f t="shared" si="8"/>
        <v>96310</v>
      </c>
      <c r="D37" s="131">
        <f t="shared" si="8"/>
        <v>0</v>
      </c>
      <c r="E37" s="131">
        <f t="shared" si="8"/>
        <v>0</v>
      </c>
      <c r="F37" s="131">
        <f t="shared" si="8"/>
        <v>19200</v>
      </c>
      <c r="G37" s="131">
        <f t="shared" si="8"/>
        <v>0</v>
      </c>
      <c r="H37" s="131">
        <f t="shared" si="8"/>
        <v>0</v>
      </c>
      <c r="I37" s="131">
        <f t="shared" si="8"/>
        <v>0</v>
      </c>
      <c r="J37" s="131">
        <f t="shared" si="8"/>
        <v>0</v>
      </c>
      <c r="K37" s="131">
        <f t="shared" si="8"/>
        <v>0</v>
      </c>
      <c r="L37" s="131">
        <f t="shared" si="8"/>
        <v>0</v>
      </c>
      <c r="M37" s="131">
        <f t="shared" si="8"/>
        <v>65820</v>
      </c>
      <c r="N37" s="131">
        <f t="shared" si="8"/>
        <v>0</v>
      </c>
      <c r="O37" s="131">
        <f t="shared" si="8"/>
        <v>0</v>
      </c>
      <c r="P37" s="131">
        <f t="shared" si="8"/>
        <v>0</v>
      </c>
      <c r="Q37" s="131">
        <f t="shared" si="8"/>
        <v>0</v>
      </c>
      <c r="R37" s="131">
        <f t="shared" si="8"/>
        <v>0</v>
      </c>
      <c r="S37" s="131">
        <f t="shared" si="8"/>
        <v>0</v>
      </c>
      <c r="T37" s="131">
        <f t="shared" si="8"/>
        <v>0</v>
      </c>
      <c r="U37" s="131">
        <f t="shared" si="8"/>
        <v>0</v>
      </c>
      <c r="V37" s="131">
        <f t="shared" si="8"/>
        <v>0</v>
      </c>
      <c r="W37" s="131">
        <f t="shared" si="8"/>
        <v>0</v>
      </c>
      <c r="X37" s="131">
        <f t="shared" si="8"/>
        <v>0</v>
      </c>
      <c r="Y37" s="131">
        <f t="shared" si="8"/>
        <v>0</v>
      </c>
      <c r="Z37" s="133">
        <f t="shared" si="7"/>
        <v>401400</v>
      </c>
    </row>
    <row r="38" spans="1:26" ht="20.25" customHeight="1" thickBot="1">
      <c r="A38" s="344" t="s">
        <v>238</v>
      </c>
      <c r="B38" s="137">
        <f t="shared" ref="B38:Z38" si="9">B28+B37</f>
        <v>1668342</v>
      </c>
      <c r="C38" s="137">
        <f t="shared" si="9"/>
        <v>678989</v>
      </c>
      <c r="D38" s="137">
        <f t="shared" si="9"/>
        <v>0</v>
      </c>
      <c r="E38" s="137">
        <f t="shared" si="9"/>
        <v>0</v>
      </c>
      <c r="F38" s="137">
        <f t="shared" si="9"/>
        <v>134400</v>
      </c>
      <c r="G38" s="137">
        <f t="shared" si="9"/>
        <v>0</v>
      </c>
      <c r="H38" s="137">
        <f t="shared" si="9"/>
        <v>0</v>
      </c>
      <c r="I38" s="137">
        <f t="shared" si="9"/>
        <v>0</v>
      </c>
      <c r="J38" s="137">
        <f t="shared" si="9"/>
        <v>0</v>
      </c>
      <c r="K38" s="137">
        <f t="shared" si="9"/>
        <v>0</v>
      </c>
      <c r="L38" s="137">
        <f t="shared" si="9"/>
        <v>0</v>
      </c>
      <c r="M38" s="137">
        <f t="shared" si="9"/>
        <v>474091</v>
      </c>
      <c r="N38" s="137">
        <f t="shared" si="9"/>
        <v>0</v>
      </c>
      <c r="O38" s="137">
        <f t="shared" si="9"/>
        <v>0</v>
      </c>
      <c r="P38" s="137">
        <f t="shared" si="9"/>
        <v>0</v>
      </c>
      <c r="Q38" s="137">
        <f t="shared" si="9"/>
        <v>0</v>
      </c>
      <c r="R38" s="137">
        <f t="shared" si="9"/>
        <v>0</v>
      </c>
      <c r="S38" s="137">
        <f t="shared" si="9"/>
        <v>0</v>
      </c>
      <c r="T38" s="137">
        <f t="shared" si="9"/>
        <v>0</v>
      </c>
      <c r="U38" s="137">
        <f t="shared" si="9"/>
        <v>0</v>
      </c>
      <c r="V38" s="137">
        <f t="shared" si="9"/>
        <v>0</v>
      </c>
      <c r="W38" s="137">
        <f t="shared" si="9"/>
        <v>0</v>
      </c>
      <c r="X38" s="137">
        <f t="shared" si="9"/>
        <v>0</v>
      </c>
      <c r="Y38" s="137">
        <f t="shared" si="9"/>
        <v>0</v>
      </c>
      <c r="Z38" s="144">
        <f t="shared" si="9"/>
        <v>2955822</v>
      </c>
    </row>
    <row r="39" spans="1:26" ht="20.25" customHeight="1">
      <c r="A39" s="168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</row>
    <row r="40" spans="1:26" ht="20.25" customHeight="1">
      <c r="A40" s="168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</row>
    <row r="41" spans="1:26" ht="20.25" customHeight="1">
      <c r="A41" s="168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</row>
    <row r="42" spans="1:26" ht="20.25" customHeight="1">
      <c r="A42" s="168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</row>
    <row r="43" spans="1:26" ht="20.25" customHeight="1">
      <c r="A43" s="168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</row>
    <row r="44" spans="1:26" ht="20.25" customHeight="1">
      <c r="A44" s="531" t="s">
        <v>197</v>
      </c>
      <c r="B44" s="531"/>
      <c r="C44" s="531"/>
      <c r="D44" s="531"/>
      <c r="E44" s="531"/>
      <c r="F44" s="531"/>
      <c r="G44" s="531"/>
      <c r="H44" s="531"/>
      <c r="I44" s="531"/>
      <c r="J44" s="531"/>
      <c r="K44" s="531"/>
      <c r="L44" s="531"/>
      <c r="M44" s="531"/>
      <c r="N44" s="531"/>
      <c r="O44" s="531"/>
      <c r="P44" s="531"/>
      <c r="Q44" s="531"/>
      <c r="R44" s="531"/>
      <c r="S44" s="531"/>
      <c r="T44" s="531"/>
      <c r="U44" s="531"/>
      <c r="V44" s="531"/>
      <c r="W44" s="531"/>
      <c r="X44" s="531"/>
      <c r="Y44" s="531"/>
      <c r="Z44" s="531"/>
    </row>
    <row r="45" spans="1:26" ht="20.25" customHeight="1">
      <c r="A45" s="531" t="s">
        <v>198</v>
      </c>
      <c r="B45" s="531"/>
      <c r="C45" s="531"/>
      <c r="D45" s="531"/>
      <c r="E45" s="531"/>
      <c r="F45" s="531"/>
      <c r="G45" s="531"/>
      <c r="H45" s="531"/>
      <c r="I45" s="531"/>
      <c r="J45" s="531"/>
      <c r="K45" s="531"/>
      <c r="L45" s="531"/>
      <c r="M45" s="531"/>
      <c r="N45" s="531"/>
      <c r="O45" s="531"/>
      <c r="P45" s="531"/>
      <c r="Q45" s="531"/>
      <c r="R45" s="531"/>
      <c r="S45" s="531"/>
      <c r="T45" s="531"/>
      <c r="U45" s="531"/>
      <c r="V45" s="531"/>
      <c r="W45" s="531"/>
      <c r="X45" s="531"/>
      <c r="Y45" s="531"/>
      <c r="Z45" s="531"/>
    </row>
    <row r="46" spans="1:26" ht="20.25" customHeight="1" thickBot="1">
      <c r="A46" s="523" t="str">
        <f>A3</f>
        <v>วันที่  30  เมษายน  2557</v>
      </c>
      <c r="B46" s="523"/>
      <c r="C46" s="523"/>
      <c r="D46" s="523"/>
      <c r="E46" s="523"/>
      <c r="F46" s="523"/>
      <c r="G46" s="523"/>
      <c r="H46" s="523"/>
      <c r="I46" s="523"/>
      <c r="J46" s="523"/>
      <c r="K46" s="523"/>
      <c r="L46" s="523"/>
      <c r="M46" s="523"/>
      <c r="N46" s="523"/>
      <c r="O46" s="523"/>
      <c r="P46" s="523"/>
      <c r="Q46" s="523"/>
      <c r="R46" s="523"/>
      <c r="S46" s="523"/>
      <c r="T46" s="523"/>
      <c r="U46" s="523"/>
      <c r="V46" s="523"/>
      <c r="W46" s="523"/>
      <c r="X46" s="523"/>
      <c r="Y46" s="523"/>
      <c r="Z46" s="523"/>
    </row>
    <row r="47" spans="1:26" ht="20.25" customHeight="1">
      <c r="A47" s="343" t="s">
        <v>199</v>
      </c>
      <c r="B47" s="525" t="s">
        <v>200</v>
      </c>
      <c r="C47" s="525"/>
      <c r="D47" s="525" t="s">
        <v>201</v>
      </c>
      <c r="E47" s="525"/>
      <c r="F47" s="525" t="s">
        <v>202</v>
      </c>
      <c r="G47" s="525"/>
      <c r="H47" s="525"/>
      <c r="I47" s="525" t="s">
        <v>203</v>
      </c>
      <c r="J47" s="525"/>
      <c r="K47" s="525" t="s">
        <v>204</v>
      </c>
      <c r="L47" s="525"/>
      <c r="M47" s="526" t="s">
        <v>205</v>
      </c>
      <c r="N47" s="527"/>
      <c r="O47" s="528"/>
      <c r="P47" s="525" t="s">
        <v>206</v>
      </c>
      <c r="Q47" s="525"/>
      <c r="R47" s="525" t="s">
        <v>207</v>
      </c>
      <c r="S47" s="525"/>
      <c r="T47" s="525"/>
      <c r="U47" s="341" t="s">
        <v>208</v>
      </c>
      <c r="V47" s="525" t="s">
        <v>209</v>
      </c>
      <c r="W47" s="525"/>
      <c r="X47" s="341" t="s">
        <v>210</v>
      </c>
      <c r="Y47" s="341" t="s">
        <v>211</v>
      </c>
      <c r="Z47" s="529" t="s">
        <v>54</v>
      </c>
    </row>
    <row r="48" spans="1:26" ht="20.25" customHeight="1" thickBot="1">
      <c r="A48" s="344" t="s">
        <v>212</v>
      </c>
      <c r="B48" s="129" t="s">
        <v>213</v>
      </c>
      <c r="C48" s="129" t="s">
        <v>214</v>
      </c>
      <c r="D48" s="129" t="s">
        <v>215</v>
      </c>
      <c r="E48" s="129" t="s">
        <v>216</v>
      </c>
      <c r="F48" s="129" t="s">
        <v>217</v>
      </c>
      <c r="G48" s="129" t="s">
        <v>218</v>
      </c>
      <c r="H48" s="129" t="s">
        <v>219</v>
      </c>
      <c r="I48" s="129" t="s">
        <v>220</v>
      </c>
      <c r="J48" s="129" t="s">
        <v>221</v>
      </c>
      <c r="K48" s="129" t="s">
        <v>222</v>
      </c>
      <c r="L48" s="129" t="s">
        <v>223</v>
      </c>
      <c r="M48" s="130" t="s">
        <v>224</v>
      </c>
      <c r="N48" s="129" t="s">
        <v>225</v>
      </c>
      <c r="O48" s="129" t="s">
        <v>226</v>
      </c>
      <c r="P48" s="129" t="s">
        <v>227</v>
      </c>
      <c r="Q48" s="129" t="s">
        <v>228</v>
      </c>
      <c r="R48" s="129" t="s">
        <v>229</v>
      </c>
      <c r="S48" s="129" t="s">
        <v>230</v>
      </c>
      <c r="T48" s="129" t="s">
        <v>231</v>
      </c>
      <c r="U48" s="129">
        <v>311</v>
      </c>
      <c r="V48" s="129" t="s">
        <v>233</v>
      </c>
      <c r="W48" s="129" t="s">
        <v>234</v>
      </c>
      <c r="X48" s="129" t="s">
        <v>235</v>
      </c>
      <c r="Y48" s="129" t="s">
        <v>236</v>
      </c>
      <c r="Z48" s="530"/>
    </row>
    <row r="49" spans="1:26" ht="20.25" customHeight="1">
      <c r="A49" s="347" t="s">
        <v>55</v>
      </c>
      <c r="B49" s="131">
        <v>76543</v>
      </c>
      <c r="C49" s="131">
        <v>23862</v>
      </c>
      <c r="D49" s="131">
        <v>80700</v>
      </c>
      <c r="E49" s="131"/>
      <c r="F49" s="131"/>
      <c r="G49" s="131">
        <v>0</v>
      </c>
      <c r="H49" s="131">
        <v>0</v>
      </c>
      <c r="I49" s="131">
        <v>0</v>
      </c>
      <c r="J49" s="131">
        <v>0</v>
      </c>
      <c r="K49" s="131">
        <v>0</v>
      </c>
      <c r="L49" s="131">
        <v>0</v>
      </c>
      <c r="M49" s="131">
        <v>0</v>
      </c>
      <c r="N49" s="131"/>
      <c r="O49" s="131">
        <v>0</v>
      </c>
      <c r="P49" s="131">
        <v>0</v>
      </c>
      <c r="Q49" s="131">
        <v>0</v>
      </c>
      <c r="R49" s="131">
        <v>0</v>
      </c>
      <c r="S49" s="131">
        <v>0</v>
      </c>
      <c r="T49" s="131">
        <v>0</v>
      </c>
      <c r="U49" s="131">
        <v>0</v>
      </c>
      <c r="V49" s="131">
        <v>0</v>
      </c>
      <c r="W49" s="131">
        <v>0</v>
      </c>
      <c r="X49" s="131">
        <v>0</v>
      </c>
      <c r="Y49" s="131">
        <v>0</v>
      </c>
      <c r="Z49" s="133">
        <f t="shared" ref="Z49:Z50" si="10">SUM(B49:Y49)</f>
        <v>181105</v>
      </c>
    </row>
    <row r="50" spans="1:26" ht="20.25" customHeight="1">
      <c r="A50" s="346">
        <v>531000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3">
        <f t="shared" si="10"/>
        <v>0</v>
      </c>
    </row>
    <row r="51" spans="1:26" ht="20.25" customHeight="1">
      <c r="A51" s="334" t="s">
        <v>313</v>
      </c>
      <c r="B51" s="134">
        <v>0</v>
      </c>
      <c r="C51" s="134">
        <v>1200</v>
      </c>
      <c r="D51" s="134">
        <v>0</v>
      </c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3">
        <f>SUM(B51:Y51)</f>
        <v>1200</v>
      </c>
    </row>
    <row r="52" spans="1:26" ht="20.25" customHeight="1">
      <c r="A52" s="334" t="s">
        <v>314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3">
        <f t="shared" ref="Z52:Z57" si="11">SUM(B52:Y52)</f>
        <v>0</v>
      </c>
    </row>
    <row r="53" spans="1:26" ht="20.25" customHeight="1">
      <c r="A53" s="334" t="s">
        <v>315</v>
      </c>
      <c r="B53" s="134">
        <v>0</v>
      </c>
      <c r="C53" s="134">
        <v>0</v>
      </c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3">
        <f t="shared" si="11"/>
        <v>0</v>
      </c>
    </row>
    <row r="54" spans="1:26" ht="20.25" customHeight="1">
      <c r="A54" s="334" t="s">
        <v>316</v>
      </c>
      <c r="B54" s="134">
        <v>1600</v>
      </c>
      <c r="C54" s="134">
        <v>3000</v>
      </c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6"/>
      <c r="Z54" s="133">
        <f t="shared" si="11"/>
        <v>4600</v>
      </c>
    </row>
    <row r="55" spans="1:26" ht="20.25" customHeight="1">
      <c r="A55" s="334" t="s">
        <v>317</v>
      </c>
      <c r="B55" s="146">
        <v>0</v>
      </c>
      <c r="C55" s="134">
        <v>0</v>
      </c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3">
        <f t="shared" si="11"/>
        <v>0</v>
      </c>
    </row>
    <row r="56" spans="1:26" ht="20.25" customHeight="1" thickBot="1">
      <c r="A56" s="335" t="s">
        <v>318</v>
      </c>
      <c r="B56" s="147">
        <v>0</v>
      </c>
      <c r="C56" s="134">
        <v>0</v>
      </c>
      <c r="D56" s="131"/>
      <c r="E56" s="131"/>
      <c r="F56" s="131"/>
      <c r="G56" s="131"/>
      <c r="H56" s="131"/>
      <c r="I56" s="131"/>
      <c r="J56" s="131"/>
      <c r="K56" s="131"/>
      <c r="L56" s="131"/>
      <c r="M56" s="131">
        <v>0</v>
      </c>
      <c r="N56" s="131">
        <v>0</v>
      </c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7"/>
      <c r="Z56" s="133">
        <f t="shared" si="11"/>
        <v>0</v>
      </c>
    </row>
    <row r="57" spans="1:26" ht="20.25" customHeight="1">
      <c r="A57" s="343" t="s">
        <v>237</v>
      </c>
      <c r="B57" s="138">
        <f t="shared" ref="B57:Y57" si="12">SUM(B50:B56)</f>
        <v>1600</v>
      </c>
      <c r="C57" s="138">
        <f t="shared" si="12"/>
        <v>4200</v>
      </c>
      <c r="D57" s="138">
        <f t="shared" si="12"/>
        <v>0</v>
      </c>
      <c r="E57" s="138">
        <f t="shared" si="12"/>
        <v>0</v>
      </c>
      <c r="F57" s="138">
        <f t="shared" si="12"/>
        <v>0</v>
      </c>
      <c r="G57" s="138">
        <f t="shared" si="12"/>
        <v>0</v>
      </c>
      <c r="H57" s="138">
        <f t="shared" si="12"/>
        <v>0</v>
      </c>
      <c r="I57" s="138">
        <f t="shared" si="12"/>
        <v>0</v>
      </c>
      <c r="J57" s="138">
        <f t="shared" si="12"/>
        <v>0</v>
      </c>
      <c r="K57" s="138">
        <f t="shared" si="12"/>
        <v>0</v>
      </c>
      <c r="L57" s="138">
        <f t="shared" si="12"/>
        <v>0</v>
      </c>
      <c r="M57" s="138">
        <f t="shared" si="12"/>
        <v>0</v>
      </c>
      <c r="N57" s="138">
        <f t="shared" si="12"/>
        <v>0</v>
      </c>
      <c r="O57" s="138">
        <f t="shared" si="12"/>
        <v>0</v>
      </c>
      <c r="P57" s="138">
        <f t="shared" si="12"/>
        <v>0</v>
      </c>
      <c r="Q57" s="138">
        <f t="shared" si="12"/>
        <v>0</v>
      </c>
      <c r="R57" s="138">
        <f t="shared" si="12"/>
        <v>0</v>
      </c>
      <c r="S57" s="138">
        <f t="shared" si="12"/>
        <v>0</v>
      </c>
      <c r="T57" s="138">
        <f t="shared" si="12"/>
        <v>0</v>
      </c>
      <c r="U57" s="138">
        <f t="shared" si="12"/>
        <v>0</v>
      </c>
      <c r="V57" s="138">
        <f t="shared" si="12"/>
        <v>0</v>
      </c>
      <c r="W57" s="138">
        <f t="shared" si="12"/>
        <v>0</v>
      </c>
      <c r="X57" s="138">
        <f t="shared" si="12"/>
        <v>0</v>
      </c>
      <c r="Y57" s="138">
        <f t="shared" si="12"/>
        <v>0</v>
      </c>
      <c r="Z57" s="140">
        <f t="shared" si="11"/>
        <v>5800</v>
      </c>
    </row>
    <row r="58" spans="1:26" ht="20.25" customHeight="1" thickBot="1">
      <c r="A58" s="344" t="s">
        <v>238</v>
      </c>
      <c r="B58" s="137">
        <f>B57+B49</f>
        <v>78143</v>
      </c>
      <c r="C58" s="137">
        <f>C49+C57</f>
        <v>28062</v>
      </c>
      <c r="D58" s="137">
        <f t="shared" ref="D58:L58" si="13">D57+D49</f>
        <v>80700</v>
      </c>
      <c r="E58" s="137">
        <f t="shared" si="13"/>
        <v>0</v>
      </c>
      <c r="F58" s="137">
        <f t="shared" si="13"/>
        <v>0</v>
      </c>
      <c r="G58" s="137">
        <f t="shared" si="13"/>
        <v>0</v>
      </c>
      <c r="H58" s="137">
        <f t="shared" si="13"/>
        <v>0</v>
      </c>
      <c r="I58" s="137">
        <f t="shared" si="13"/>
        <v>0</v>
      </c>
      <c r="J58" s="137">
        <f t="shared" si="13"/>
        <v>0</v>
      </c>
      <c r="K58" s="137">
        <f t="shared" si="13"/>
        <v>0</v>
      </c>
      <c r="L58" s="137">
        <f t="shared" si="13"/>
        <v>0</v>
      </c>
      <c r="M58" s="137">
        <f t="shared" ref="M58:Z58" si="14">M49+M57</f>
        <v>0</v>
      </c>
      <c r="N58" s="137">
        <f t="shared" si="14"/>
        <v>0</v>
      </c>
      <c r="O58" s="137">
        <f t="shared" si="14"/>
        <v>0</v>
      </c>
      <c r="P58" s="137">
        <f t="shared" si="14"/>
        <v>0</v>
      </c>
      <c r="Q58" s="137">
        <f t="shared" si="14"/>
        <v>0</v>
      </c>
      <c r="R58" s="137">
        <f t="shared" si="14"/>
        <v>0</v>
      </c>
      <c r="S58" s="137">
        <f t="shared" si="14"/>
        <v>0</v>
      </c>
      <c r="T58" s="137">
        <f t="shared" si="14"/>
        <v>0</v>
      </c>
      <c r="U58" s="137">
        <f t="shared" si="14"/>
        <v>0</v>
      </c>
      <c r="V58" s="137">
        <f t="shared" si="14"/>
        <v>0</v>
      </c>
      <c r="W58" s="137">
        <f t="shared" si="14"/>
        <v>0</v>
      </c>
      <c r="X58" s="137">
        <f t="shared" si="14"/>
        <v>0</v>
      </c>
      <c r="Y58" s="137">
        <f t="shared" si="14"/>
        <v>0</v>
      </c>
      <c r="Z58" s="144">
        <f t="shared" si="14"/>
        <v>186905</v>
      </c>
    </row>
    <row r="59" spans="1:26" ht="20.25" customHeight="1">
      <c r="A59" s="345" t="s">
        <v>55</v>
      </c>
      <c r="B59" s="147">
        <f>190638.78-7230</f>
        <v>183408.78</v>
      </c>
      <c r="C59" s="147">
        <f>126542-7230</f>
        <v>119312</v>
      </c>
      <c r="D59" s="147">
        <f>15343+1500</f>
        <v>16843</v>
      </c>
      <c r="E59" s="147">
        <v>0</v>
      </c>
      <c r="F59" s="147">
        <v>13610</v>
      </c>
      <c r="G59" s="147">
        <v>489920</v>
      </c>
      <c r="H59" s="147"/>
      <c r="I59" s="147"/>
      <c r="J59" s="147"/>
      <c r="K59" s="147"/>
      <c r="L59" s="147"/>
      <c r="M59" s="148">
        <v>1800</v>
      </c>
      <c r="N59" s="147"/>
      <c r="O59" s="147"/>
      <c r="P59" s="147">
        <v>2994</v>
      </c>
      <c r="Q59" s="147">
        <v>0</v>
      </c>
      <c r="R59" s="147">
        <v>0</v>
      </c>
      <c r="S59" s="147">
        <v>49995</v>
      </c>
      <c r="T59" s="147">
        <v>105190</v>
      </c>
      <c r="U59" s="147"/>
      <c r="V59" s="147"/>
      <c r="W59" s="147"/>
      <c r="X59" s="147"/>
      <c r="Y59" s="147"/>
      <c r="Z59" s="149">
        <f>SUM(B59:Y59)</f>
        <v>983072.78</v>
      </c>
    </row>
    <row r="60" spans="1:26" ht="20.25" customHeight="1">
      <c r="A60" s="346">
        <v>532000</v>
      </c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49">
        <f t="shared" ref="Z60:Z64" si="15">SUM(B60:Y60)</f>
        <v>0</v>
      </c>
    </row>
    <row r="61" spans="1:26" ht="20.25" customHeight="1">
      <c r="A61" s="334" t="s">
        <v>319</v>
      </c>
      <c r="B61" s="136">
        <f>28100+5000</f>
        <v>33100</v>
      </c>
      <c r="C61" s="136">
        <f>7800+6000</f>
        <v>13800</v>
      </c>
      <c r="D61" s="136">
        <v>0</v>
      </c>
      <c r="E61" s="136"/>
      <c r="F61" s="136">
        <v>0</v>
      </c>
      <c r="G61" s="136"/>
      <c r="H61" s="136"/>
      <c r="I61" s="136"/>
      <c r="J61" s="136"/>
      <c r="K61" s="136"/>
      <c r="L61" s="136"/>
      <c r="M61" s="134">
        <v>5500</v>
      </c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49">
        <f t="shared" si="15"/>
        <v>52400</v>
      </c>
    </row>
    <row r="62" spans="1:26" ht="20.25" customHeight="1">
      <c r="A62" s="336" t="s">
        <v>320</v>
      </c>
      <c r="B62" s="136">
        <v>0</v>
      </c>
      <c r="C62" s="136">
        <v>0</v>
      </c>
      <c r="D62" s="136"/>
      <c r="E62" s="136"/>
      <c r="F62" s="136"/>
      <c r="G62" s="136"/>
      <c r="H62" s="136"/>
      <c r="I62" s="136"/>
      <c r="J62" s="136"/>
      <c r="K62" s="136"/>
      <c r="L62" s="136"/>
      <c r="M62" s="134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49">
        <f t="shared" si="15"/>
        <v>0</v>
      </c>
    </row>
    <row r="63" spans="1:26" ht="20.25" customHeight="1">
      <c r="A63" s="336" t="s">
        <v>321</v>
      </c>
      <c r="B63" s="136">
        <f>1000+13712</f>
        <v>14712</v>
      </c>
      <c r="C63" s="136">
        <f>7528+6000+6000</f>
        <v>19528</v>
      </c>
      <c r="D63" s="136">
        <v>0</v>
      </c>
      <c r="E63" s="136"/>
      <c r="F63" s="136">
        <v>0</v>
      </c>
      <c r="G63" s="136">
        <f>6500+12000+21500</f>
        <v>40000</v>
      </c>
      <c r="H63" s="136">
        <v>0</v>
      </c>
      <c r="I63" s="136"/>
      <c r="J63" s="136"/>
      <c r="K63" s="136"/>
      <c r="L63" s="136"/>
      <c r="M63" s="134">
        <v>6820</v>
      </c>
      <c r="N63" s="136"/>
      <c r="O63" s="136"/>
      <c r="P63" s="136">
        <v>0</v>
      </c>
      <c r="Q63" s="136">
        <v>0</v>
      </c>
      <c r="R63" s="136">
        <v>0</v>
      </c>
      <c r="S63" s="136">
        <v>0</v>
      </c>
      <c r="T63" s="136">
        <v>0</v>
      </c>
      <c r="U63" s="136"/>
      <c r="V63" s="136"/>
      <c r="W63" s="136"/>
      <c r="X63" s="136"/>
      <c r="Y63" s="136"/>
      <c r="Z63" s="149">
        <f t="shared" si="15"/>
        <v>81060</v>
      </c>
    </row>
    <row r="64" spans="1:26" ht="20.25" customHeight="1" thickBot="1">
      <c r="A64" s="335" t="s">
        <v>322</v>
      </c>
      <c r="B64" s="136">
        <v>1171.6500000000001</v>
      </c>
      <c r="C64" s="136">
        <v>0</v>
      </c>
      <c r="D64" s="136">
        <v>0</v>
      </c>
      <c r="E64" s="136"/>
      <c r="F64" s="136"/>
      <c r="G64" s="136"/>
      <c r="H64" s="136"/>
      <c r="I64" s="136"/>
      <c r="J64" s="136"/>
      <c r="K64" s="136"/>
      <c r="L64" s="136"/>
      <c r="M64" s="142">
        <v>0</v>
      </c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49">
        <f t="shared" si="15"/>
        <v>1171.6500000000001</v>
      </c>
    </row>
    <row r="65" spans="1:208" ht="20.25" customHeight="1">
      <c r="A65" s="343" t="s">
        <v>237</v>
      </c>
      <c r="B65" s="138">
        <f t="shared" ref="B65:Z65" si="16">SUM(B61:B64)</f>
        <v>48983.65</v>
      </c>
      <c r="C65" s="138">
        <f t="shared" si="16"/>
        <v>33328</v>
      </c>
      <c r="D65" s="138">
        <f t="shared" si="16"/>
        <v>0</v>
      </c>
      <c r="E65" s="138">
        <f t="shared" si="16"/>
        <v>0</v>
      </c>
      <c r="F65" s="138">
        <f t="shared" si="16"/>
        <v>0</v>
      </c>
      <c r="G65" s="138">
        <f t="shared" si="16"/>
        <v>40000</v>
      </c>
      <c r="H65" s="138">
        <f t="shared" si="16"/>
        <v>0</v>
      </c>
      <c r="I65" s="138">
        <f t="shared" si="16"/>
        <v>0</v>
      </c>
      <c r="J65" s="138">
        <f t="shared" si="16"/>
        <v>0</v>
      </c>
      <c r="K65" s="138">
        <f t="shared" si="16"/>
        <v>0</v>
      </c>
      <c r="L65" s="138">
        <f t="shared" si="16"/>
        <v>0</v>
      </c>
      <c r="M65" s="138">
        <f t="shared" si="16"/>
        <v>12320</v>
      </c>
      <c r="N65" s="138">
        <f t="shared" si="16"/>
        <v>0</v>
      </c>
      <c r="O65" s="138">
        <f t="shared" si="16"/>
        <v>0</v>
      </c>
      <c r="P65" s="138">
        <f t="shared" si="16"/>
        <v>0</v>
      </c>
      <c r="Q65" s="138">
        <f t="shared" si="16"/>
        <v>0</v>
      </c>
      <c r="R65" s="138">
        <f t="shared" si="16"/>
        <v>0</v>
      </c>
      <c r="S65" s="138">
        <f t="shared" si="16"/>
        <v>0</v>
      </c>
      <c r="T65" s="138">
        <f t="shared" si="16"/>
        <v>0</v>
      </c>
      <c r="U65" s="138">
        <f t="shared" si="16"/>
        <v>0</v>
      </c>
      <c r="V65" s="138">
        <f t="shared" si="16"/>
        <v>0</v>
      </c>
      <c r="W65" s="138">
        <f t="shared" si="16"/>
        <v>0</v>
      </c>
      <c r="X65" s="138">
        <f t="shared" si="16"/>
        <v>0</v>
      </c>
      <c r="Y65" s="138">
        <f t="shared" si="16"/>
        <v>0</v>
      </c>
      <c r="Z65" s="140">
        <f t="shared" si="16"/>
        <v>134631.65</v>
      </c>
    </row>
    <row r="66" spans="1:208" ht="20.25" customHeight="1" thickBot="1">
      <c r="A66" s="344" t="s">
        <v>238</v>
      </c>
      <c r="B66" s="137">
        <f t="shared" ref="B66:R66" si="17">B59+B65</f>
        <v>232392.43</v>
      </c>
      <c r="C66" s="137">
        <f t="shared" si="17"/>
        <v>152640</v>
      </c>
      <c r="D66" s="137">
        <f t="shared" si="17"/>
        <v>16843</v>
      </c>
      <c r="E66" s="137">
        <f t="shared" si="17"/>
        <v>0</v>
      </c>
      <c r="F66" s="137">
        <f t="shared" si="17"/>
        <v>13610</v>
      </c>
      <c r="G66" s="137">
        <f t="shared" si="17"/>
        <v>529920</v>
      </c>
      <c r="H66" s="137">
        <f t="shared" si="17"/>
        <v>0</v>
      </c>
      <c r="I66" s="137">
        <f t="shared" si="17"/>
        <v>0</v>
      </c>
      <c r="J66" s="137">
        <f t="shared" si="17"/>
        <v>0</v>
      </c>
      <c r="K66" s="137">
        <f t="shared" si="17"/>
        <v>0</v>
      </c>
      <c r="L66" s="137">
        <f t="shared" si="17"/>
        <v>0</v>
      </c>
      <c r="M66" s="137">
        <f t="shared" si="17"/>
        <v>14120</v>
      </c>
      <c r="N66" s="137">
        <f t="shared" si="17"/>
        <v>0</v>
      </c>
      <c r="O66" s="137">
        <f t="shared" si="17"/>
        <v>0</v>
      </c>
      <c r="P66" s="137">
        <f t="shared" si="17"/>
        <v>2994</v>
      </c>
      <c r="Q66" s="137">
        <f t="shared" si="17"/>
        <v>0</v>
      </c>
      <c r="R66" s="137">
        <f t="shared" si="17"/>
        <v>0</v>
      </c>
      <c r="S66" s="137">
        <f>+S59+S65</f>
        <v>49995</v>
      </c>
      <c r="T66" s="137">
        <f t="shared" ref="T66:Z66" si="18">T59+T65</f>
        <v>105190</v>
      </c>
      <c r="U66" s="137">
        <f t="shared" si="18"/>
        <v>0</v>
      </c>
      <c r="V66" s="137">
        <f t="shared" si="18"/>
        <v>0</v>
      </c>
      <c r="W66" s="137">
        <f t="shared" si="18"/>
        <v>0</v>
      </c>
      <c r="X66" s="137">
        <f t="shared" si="18"/>
        <v>0</v>
      </c>
      <c r="Y66" s="137">
        <f t="shared" si="18"/>
        <v>0</v>
      </c>
      <c r="Z66" s="144">
        <f t="shared" si="18"/>
        <v>1117704.43</v>
      </c>
    </row>
    <row r="67" spans="1:208" s="134" customFormat="1" ht="20.25" customHeight="1">
      <c r="A67" s="347" t="s">
        <v>55</v>
      </c>
      <c r="B67" s="131">
        <v>62234</v>
      </c>
      <c r="C67" s="136">
        <v>9120</v>
      </c>
      <c r="D67" s="147">
        <f>11000-1500</f>
        <v>9500</v>
      </c>
      <c r="E67" s="147"/>
      <c r="F67" s="131">
        <v>799098.8</v>
      </c>
      <c r="G67" s="131"/>
      <c r="H67" s="131"/>
      <c r="I67" s="147"/>
      <c r="J67" s="150"/>
      <c r="K67" s="150"/>
      <c r="L67" s="150"/>
      <c r="M67" s="150">
        <v>600</v>
      </c>
      <c r="N67" s="147"/>
      <c r="O67" s="147"/>
      <c r="P67" s="147"/>
      <c r="Q67" s="147"/>
      <c r="R67" s="147"/>
      <c r="S67" s="147">
        <v>0</v>
      </c>
      <c r="T67" s="147"/>
      <c r="U67" s="147"/>
      <c r="V67" s="147"/>
      <c r="W67" s="147"/>
      <c r="X67" s="147">
        <v>9450</v>
      </c>
      <c r="Y67" s="147"/>
      <c r="Z67" s="143">
        <f t="shared" ref="Z67:Z82" si="19">SUM(B67:Y67)</f>
        <v>890002.8</v>
      </c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1"/>
      <c r="ER67" s="141"/>
      <c r="ES67" s="141"/>
      <c r="ET67" s="141"/>
      <c r="EU67" s="141"/>
      <c r="EV67" s="141"/>
      <c r="EW67" s="141"/>
      <c r="EX67" s="141"/>
      <c r="EY67" s="141"/>
      <c r="EZ67" s="141"/>
      <c r="FA67" s="141"/>
      <c r="FB67" s="141"/>
      <c r="FC67" s="141"/>
      <c r="FD67" s="141"/>
      <c r="FE67" s="141"/>
      <c r="FF67" s="141"/>
      <c r="FG67" s="141"/>
      <c r="FH67" s="141"/>
      <c r="FI67" s="141"/>
      <c r="FJ67" s="141"/>
      <c r="FK67" s="141"/>
      <c r="FL67" s="141"/>
      <c r="FM67" s="141"/>
      <c r="FN67" s="141"/>
      <c r="FO67" s="141"/>
      <c r="FP67" s="141"/>
      <c r="FQ67" s="141"/>
      <c r="FR67" s="141"/>
      <c r="FS67" s="141"/>
      <c r="FT67" s="141"/>
      <c r="FU67" s="141"/>
      <c r="FV67" s="141"/>
      <c r="FW67" s="141"/>
      <c r="FX67" s="141"/>
      <c r="FY67" s="141"/>
      <c r="FZ67" s="141"/>
      <c r="GA67" s="141"/>
      <c r="GB67" s="141"/>
      <c r="GC67" s="141"/>
      <c r="GD67" s="141"/>
      <c r="GE67" s="141"/>
      <c r="GF67" s="141"/>
      <c r="GG67" s="141"/>
      <c r="GH67" s="141"/>
      <c r="GI67" s="141"/>
      <c r="GJ67" s="141"/>
      <c r="GK67" s="141"/>
      <c r="GL67" s="141"/>
      <c r="GM67" s="141"/>
      <c r="GN67" s="141"/>
      <c r="GO67" s="141"/>
      <c r="GP67" s="141"/>
      <c r="GQ67" s="141"/>
      <c r="GR67" s="141"/>
      <c r="GS67" s="141"/>
      <c r="GT67" s="141"/>
      <c r="GU67" s="141"/>
      <c r="GV67" s="141"/>
      <c r="GW67" s="141"/>
      <c r="GX67" s="141"/>
      <c r="GY67" s="141"/>
      <c r="GZ67" s="141"/>
    </row>
    <row r="68" spans="1:208" s="134" customFormat="1" ht="20.25" customHeight="1">
      <c r="A68" s="346">
        <v>533000</v>
      </c>
      <c r="B68" s="146"/>
      <c r="C68" s="146"/>
      <c r="D68" s="146"/>
      <c r="E68" s="146"/>
      <c r="F68" s="146"/>
      <c r="G68" s="146"/>
      <c r="H68" s="146"/>
      <c r="I68" s="146"/>
      <c r="J68" s="150"/>
      <c r="K68" s="150"/>
      <c r="L68" s="150"/>
      <c r="M68" s="150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3">
        <f t="shared" si="19"/>
        <v>0</v>
      </c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1"/>
      <c r="FI68" s="141"/>
      <c r="FJ68" s="141"/>
      <c r="FK68" s="141"/>
      <c r="FL68" s="141"/>
      <c r="FM68" s="141"/>
      <c r="FN68" s="141"/>
      <c r="FO68" s="141"/>
      <c r="FP68" s="141"/>
      <c r="FQ68" s="141"/>
      <c r="FR68" s="141"/>
      <c r="FS68" s="141"/>
      <c r="FT68" s="141"/>
      <c r="FU68" s="141"/>
      <c r="FV68" s="141"/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1"/>
      <c r="GI68" s="141"/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1"/>
      <c r="GV68" s="141"/>
      <c r="GW68" s="141"/>
      <c r="GX68" s="141"/>
      <c r="GY68" s="141"/>
      <c r="GZ68" s="141"/>
    </row>
    <row r="69" spans="1:208" s="134" customFormat="1" ht="20.25" customHeight="1">
      <c r="A69" s="334" t="s">
        <v>323</v>
      </c>
      <c r="B69" s="136">
        <v>42709</v>
      </c>
      <c r="C69" s="136">
        <v>0</v>
      </c>
      <c r="D69" s="146"/>
      <c r="E69" s="146"/>
      <c r="F69" s="136"/>
      <c r="G69" s="136"/>
      <c r="H69" s="146"/>
      <c r="I69" s="146"/>
      <c r="J69" s="150"/>
      <c r="K69" s="150"/>
      <c r="L69" s="150"/>
      <c r="M69" s="150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3">
        <f t="shared" si="19"/>
        <v>42709</v>
      </c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1"/>
      <c r="FF69" s="141"/>
      <c r="FG69" s="141"/>
      <c r="FH69" s="141"/>
      <c r="FI69" s="141"/>
      <c r="FJ69" s="141"/>
      <c r="FK69" s="141"/>
      <c r="FL69" s="141"/>
      <c r="FM69" s="141"/>
      <c r="FN69" s="141"/>
      <c r="FO69" s="141"/>
      <c r="FP69" s="141"/>
      <c r="FQ69" s="141"/>
      <c r="FR69" s="141"/>
      <c r="FS69" s="141"/>
      <c r="FT69" s="141"/>
      <c r="FU69" s="141"/>
      <c r="FV69" s="141"/>
      <c r="FW69" s="141"/>
      <c r="FX69" s="141"/>
      <c r="FY69" s="141"/>
      <c r="FZ69" s="141"/>
      <c r="GA69" s="141"/>
      <c r="GB69" s="141"/>
      <c r="GC69" s="141"/>
      <c r="GD69" s="141"/>
      <c r="GE69" s="141"/>
      <c r="GF69" s="141"/>
      <c r="GG69" s="141"/>
      <c r="GH69" s="141"/>
      <c r="GI69" s="141"/>
      <c r="GJ69" s="141"/>
      <c r="GK69" s="141"/>
      <c r="GL69" s="141"/>
      <c r="GM69" s="141"/>
      <c r="GN69" s="141"/>
      <c r="GO69" s="141"/>
      <c r="GP69" s="141"/>
      <c r="GQ69" s="141"/>
      <c r="GR69" s="141"/>
      <c r="GS69" s="141"/>
      <c r="GT69" s="141"/>
      <c r="GU69" s="141"/>
      <c r="GV69" s="141"/>
      <c r="GW69" s="141"/>
      <c r="GX69" s="141"/>
      <c r="GY69" s="141"/>
      <c r="GZ69" s="141"/>
    </row>
    <row r="70" spans="1:208" s="134" customFormat="1" ht="20.399999999999999">
      <c r="A70" s="336" t="s">
        <v>324</v>
      </c>
      <c r="B70" s="136">
        <v>0</v>
      </c>
      <c r="C70" s="136">
        <v>0</v>
      </c>
      <c r="D70" s="146"/>
      <c r="E70" s="146"/>
      <c r="F70" s="136"/>
      <c r="G70" s="136"/>
      <c r="H70" s="136"/>
      <c r="I70" s="146"/>
      <c r="J70" s="150"/>
      <c r="K70" s="150"/>
      <c r="L70" s="150"/>
      <c r="M70" s="150">
        <v>0</v>
      </c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3">
        <f t="shared" si="19"/>
        <v>0</v>
      </c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1"/>
      <c r="ES70" s="141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  <c r="FD70" s="141"/>
      <c r="FE70" s="141"/>
      <c r="FF70" s="141"/>
      <c r="FG70" s="141"/>
      <c r="FH70" s="141"/>
      <c r="FI70" s="141"/>
      <c r="FJ70" s="141"/>
      <c r="FK70" s="141"/>
      <c r="FL70" s="141"/>
      <c r="FM70" s="141"/>
      <c r="FN70" s="141"/>
      <c r="FO70" s="141"/>
      <c r="FP70" s="141"/>
      <c r="FQ70" s="141"/>
      <c r="FR70" s="141"/>
      <c r="FS70" s="141"/>
      <c r="FT70" s="141"/>
      <c r="FU70" s="141"/>
      <c r="FV70" s="141"/>
      <c r="FW70" s="141"/>
      <c r="FX70" s="141"/>
      <c r="FY70" s="141"/>
      <c r="FZ70" s="141"/>
      <c r="GA70" s="141"/>
      <c r="GB70" s="141"/>
      <c r="GC70" s="141"/>
      <c r="GD70" s="141"/>
      <c r="GE70" s="141"/>
      <c r="GF70" s="141"/>
      <c r="GG70" s="141"/>
      <c r="GH70" s="141"/>
      <c r="GI70" s="141"/>
      <c r="GJ70" s="141"/>
      <c r="GK70" s="141"/>
      <c r="GL70" s="141"/>
      <c r="GM70" s="141"/>
      <c r="GN70" s="141"/>
      <c r="GO70" s="141"/>
      <c r="GP70" s="141"/>
      <c r="GQ70" s="141"/>
      <c r="GR70" s="141"/>
      <c r="GS70" s="141"/>
      <c r="GT70" s="141"/>
      <c r="GU70" s="141"/>
      <c r="GV70" s="141"/>
      <c r="GW70" s="141"/>
      <c r="GX70" s="141"/>
      <c r="GY70" s="141"/>
      <c r="GZ70" s="141"/>
    </row>
    <row r="71" spans="1:208" s="134" customFormat="1" ht="20.399999999999999">
      <c r="A71" s="336" t="s">
        <v>325</v>
      </c>
      <c r="B71" s="136">
        <v>0</v>
      </c>
      <c r="C71" s="136"/>
      <c r="D71" s="146"/>
      <c r="E71" s="146"/>
      <c r="F71" s="136">
        <v>0</v>
      </c>
      <c r="G71" s="136">
        <v>0</v>
      </c>
      <c r="H71" s="136"/>
      <c r="I71" s="146"/>
      <c r="J71" s="150"/>
      <c r="K71" s="150"/>
      <c r="L71" s="150"/>
      <c r="M71" s="150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33">
        <f t="shared" si="19"/>
        <v>0</v>
      </c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  <c r="CK71" s="141"/>
      <c r="CL71" s="141"/>
      <c r="CM71" s="141"/>
      <c r="CN71" s="141"/>
      <c r="CO71" s="141"/>
      <c r="CP71" s="141"/>
      <c r="CQ71" s="141"/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/>
      <c r="EB71" s="141"/>
      <c r="EC71" s="141"/>
      <c r="ED71" s="141"/>
      <c r="EE71" s="141"/>
      <c r="EF71" s="141"/>
      <c r="EG71" s="141"/>
      <c r="EH71" s="141"/>
      <c r="EI71" s="141"/>
      <c r="EJ71" s="141"/>
      <c r="EK71" s="141"/>
      <c r="EL71" s="141"/>
      <c r="EM71" s="141"/>
      <c r="EN71" s="141"/>
      <c r="EO71" s="141"/>
      <c r="EP71" s="141"/>
      <c r="EQ71" s="141"/>
      <c r="ER71" s="141"/>
      <c r="ES71" s="141"/>
      <c r="ET71" s="141"/>
      <c r="EU71" s="141"/>
      <c r="EV71" s="141"/>
      <c r="EW71" s="141"/>
      <c r="EX71" s="141"/>
      <c r="EY71" s="141"/>
      <c r="EZ71" s="141"/>
      <c r="FA71" s="141"/>
      <c r="FB71" s="141"/>
      <c r="FC71" s="141"/>
      <c r="FD71" s="141"/>
      <c r="FE71" s="141"/>
      <c r="FF71" s="141"/>
      <c r="FG71" s="141"/>
      <c r="FH71" s="141"/>
      <c r="FI71" s="141"/>
      <c r="FJ71" s="141"/>
      <c r="FK71" s="141"/>
      <c r="FL71" s="141"/>
      <c r="FM71" s="141"/>
      <c r="FN71" s="141"/>
      <c r="FO71" s="141"/>
      <c r="FP71" s="141"/>
      <c r="FQ71" s="141"/>
      <c r="FR71" s="141"/>
      <c r="FS71" s="141"/>
      <c r="FT71" s="141"/>
      <c r="FU71" s="141"/>
      <c r="FV71" s="141"/>
      <c r="FW71" s="141"/>
      <c r="FX71" s="141"/>
      <c r="FY71" s="141"/>
      <c r="FZ71" s="141"/>
      <c r="GA71" s="141"/>
      <c r="GB71" s="141"/>
      <c r="GC71" s="141"/>
      <c r="GD71" s="141"/>
      <c r="GE71" s="141"/>
      <c r="GF71" s="141"/>
      <c r="GG71" s="141"/>
      <c r="GH71" s="141"/>
      <c r="GI71" s="141"/>
      <c r="GJ71" s="141"/>
      <c r="GK71" s="141"/>
      <c r="GL71" s="141"/>
      <c r="GM71" s="141"/>
      <c r="GN71" s="141"/>
      <c r="GO71" s="141"/>
      <c r="GP71" s="141"/>
      <c r="GQ71" s="141"/>
      <c r="GR71" s="141"/>
      <c r="GS71" s="141"/>
      <c r="GT71" s="141"/>
      <c r="GU71" s="141"/>
      <c r="GV71" s="141"/>
      <c r="GW71" s="141"/>
      <c r="GX71" s="141"/>
      <c r="GY71" s="141"/>
      <c r="GZ71" s="141"/>
    </row>
    <row r="72" spans="1:208" s="134" customFormat="1" ht="20.25" customHeight="1">
      <c r="A72" s="336" t="s">
        <v>327</v>
      </c>
      <c r="B72" s="136">
        <v>0</v>
      </c>
      <c r="C72" s="136"/>
      <c r="D72" s="146"/>
      <c r="E72" s="146"/>
      <c r="F72" s="136"/>
      <c r="G72" s="136"/>
      <c r="H72" s="136"/>
      <c r="I72" s="146"/>
      <c r="J72" s="150"/>
      <c r="K72" s="150"/>
      <c r="L72" s="150"/>
      <c r="M72" s="150">
        <v>0</v>
      </c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>
        <v>0</v>
      </c>
      <c r="Y72" s="146"/>
      <c r="Z72" s="133">
        <f t="shared" si="19"/>
        <v>0</v>
      </c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  <c r="CK72" s="141"/>
      <c r="CL72" s="141"/>
      <c r="CM72" s="141"/>
      <c r="CN72" s="141"/>
      <c r="CO72" s="141"/>
      <c r="CP72" s="141"/>
      <c r="CQ72" s="141"/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/>
      <c r="EC72" s="141"/>
      <c r="ED72" s="141"/>
      <c r="EE72" s="141"/>
      <c r="EF72" s="141"/>
      <c r="EG72" s="141"/>
      <c r="EH72" s="141"/>
      <c r="EI72" s="141"/>
      <c r="EJ72" s="141"/>
      <c r="EK72" s="141"/>
      <c r="EL72" s="141"/>
      <c r="EM72" s="141"/>
      <c r="EN72" s="141"/>
      <c r="EO72" s="141"/>
      <c r="EP72" s="141"/>
      <c r="EQ72" s="141"/>
      <c r="ER72" s="141"/>
      <c r="ES72" s="141"/>
      <c r="ET72" s="141"/>
      <c r="EU72" s="141"/>
      <c r="EV72" s="141"/>
      <c r="EW72" s="141"/>
      <c r="EX72" s="141"/>
      <c r="EY72" s="141"/>
      <c r="EZ72" s="141"/>
      <c r="FA72" s="141"/>
      <c r="FB72" s="141"/>
      <c r="FC72" s="141"/>
      <c r="FD72" s="141"/>
      <c r="FE72" s="141"/>
      <c r="FF72" s="141"/>
      <c r="FG72" s="141"/>
      <c r="FH72" s="141"/>
      <c r="FI72" s="141"/>
      <c r="FJ72" s="141"/>
      <c r="FK72" s="141"/>
      <c r="FL72" s="141"/>
      <c r="FM72" s="141"/>
      <c r="FN72" s="141"/>
      <c r="FO72" s="141"/>
      <c r="FP72" s="141"/>
      <c r="FQ72" s="141"/>
      <c r="FR72" s="141"/>
      <c r="FS72" s="141"/>
      <c r="FT72" s="141"/>
      <c r="FU72" s="141"/>
      <c r="FV72" s="141"/>
      <c r="FW72" s="141"/>
      <c r="FX72" s="141"/>
      <c r="FY72" s="141"/>
      <c r="FZ72" s="141"/>
      <c r="GA72" s="141"/>
      <c r="GB72" s="141"/>
      <c r="GC72" s="141"/>
      <c r="GD72" s="141"/>
      <c r="GE72" s="141"/>
      <c r="GF72" s="141"/>
      <c r="GG72" s="141"/>
      <c r="GH72" s="141"/>
      <c r="GI72" s="141"/>
      <c r="GJ72" s="141"/>
      <c r="GK72" s="141"/>
      <c r="GL72" s="141"/>
      <c r="GM72" s="141"/>
      <c r="GN72" s="141"/>
      <c r="GO72" s="141"/>
      <c r="GP72" s="141"/>
      <c r="GQ72" s="141"/>
      <c r="GR72" s="141"/>
      <c r="GS72" s="141"/>
      <c r="GT72" s="141"/>
      <c r="GU72" s="141"/>
      <c r="GV72" s="141"/>
      <c r="GW72" s="141"/>
      <c r="GX72" s="141"/>
      <c r="GY72" s="141"/>
      <c r="GZ72" s="141"/>
    </row>
    <row r="73" spans="1:208" s="134" customFormat="1" ht="20.25" customHeight="1">
      <c r="A73" s="336" t="s">
        <v>328</v>
      </c>
      <c r="B73" s="136">
        <v>0</v>
      </c>
      <c r="C73" s="136">
        <v>0</v>
      </c>
      <c r="D73" s="146">
        <v>0</v>
      </c>
      <c r="E73" s="146"/>
      <c r="F73" s="136"/>
      <c r="G73" s="136"/>
      <c r="H73" s="136"/>
      <c r="I73" s="146"/>
      <c r="J73" s="150"/>
      <c r="K73" s="150">
        <v>0</v>
      </c>
      <c r="L73" s="150"/>
      <c r="M73" s="150">
        <v>0</v>
      </c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33">
        <f t="shared" si="19"/>
        <v>0</v>
      </c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/>
      <c r="EB73" s="141"/>
      <c r="EC73" s="141"/>
      <c r="ED73" s="141"/>
      <c r="EE73" s="141"/>
      <c r="EF73" s="141"/>
      <c r="EG73" s="141"/>
      <c r="EH73" s="141"/>
      <c r="EI73" s="141"/>
      <c r="EJ73" s="141"/>
      <c r="EK73" s="141"/>
      <c r="EL73" s="141"/>
      <c r="EM73" s="141"/>
      <c r="EN73" s="141"/>
      <c r="EO73" s="141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  <c r="FD73" s="141"/>
      <c r="FE73" s="141"/>
      <c r="FF73" s="141"/>
      <c r="FG73" s="141"/>
      <c r="FH73" s="141"/>
      <c r="FI73" s="141"/>
      <c r="FJ73" s="141"/>
      <c r="FK73" s="141"/>
      <c r="FL73" s="141"/>
      <c r="FM73" s="141"/>
      <c r="FN73" s="141"/>
      <c r="FO73" s="141"/>
      <c r="FP73" s="141"/>
      <c r="FQ73" s="141"/>
      <c r="FR73" s="141"/>
      <c r="FS73" s="141"/>
      <c r="FT73" s="141"/>
      <c r="FU73" s="141"/>
      <c r="FV73" s="141"/>
      <c r="FW73" s="141"/>
      <c r="FX73" s="141"/>
      <c r="FY73" s="141"/>
      <c r="FZ73" s="141"/>
      <c r="GA73" s="141"/>
      <c r="GB73" s="141"/>
      <c r="GC73" s="141"/>
      <c r="GD73" s="141"/>
      <c r="GE73" s="141"/>
      <c r="GF73" s="141"/>
      <c r="GG73" s="141"/>
      <c r="GH73" s="141"/>
      <c r="GI73" s="141"/>
      <c r="GJ73" s="141"/>
      <c r="GK73" s="141"/>
      <c r="GL73" s="141"/>
      <c r="GM73" s="141"/>
      <c r="GN73" s="141"/>
      <c r="GO73" s="141"/>
      <c r="GP73" s="141"/>
      <c r="GQ73" s="141"/>
      <c r="GR73" s="141"/>
      <c r="GS73" s="141"/>
      <c r="GT73" s="141"/>
      <c r="GU73" s="141"/>
      <c r="GV73" s="141"/>
      <c r="GW73" s="141"/>
      <c r="GX73" s="141"/>
      <c r="GY73" s="141"/>
      <c r="GZ73" s="141"/>
    </row>
    <row r="74" spans="1:208" s="134" customFormat="1" ht="20.399999999999999">
      <c r="A74" s="336" t="s">
        <v>329</v>
      </c>
      <c r="B74" s="136">
        <v>0</v>
      </c>
      <c r="C74" s="136">
        <v>0</v>
      </c>
      <c r="D74" s="146">
        <v>0</v>
      </c>
      <c r="E74" s="146"/>
      <c r="F74" s="136"/>
      <c r="G74" s="136"/>
      <c r="H74" s="146"/>
      <c r="I74" s="146"/>
      <c r="J74" s="150"/>
      <c r="K74" s="150"/>
      <c r="L74" s="150"/>
      <c r="M74" s="150">
        <v>0</v>
      </c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33">
        <f t="shared" si="19"/>
        <v>0</v>
      </c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1"/>
      <c r="CL74" s="141"/>
      <c r="CM74" s="141"/>
      <c r="CN74" s="141"/>
      <c r="CO74" s="141"/>
      <c r="CP74" s="141"/>
      <c r="CQ74" s="141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/>
      <c r="ED74" s="141"/>
      <c r="EE74" s="141"/>
      <c r="EF74" s="141"/>
      <c r="EG74" s="141"/>
      <c r="EH74" s="141"/>
      <c r="EI74" s="141"/>
      <c r="EJ74" s="141"/>
      <c r="EK74" s="141"/>
      <c r="EL74" s="141"/>
      <c r="EM74" s="141"/>
      <c r="EN74" s="141"/>
      <c r="EO74" s="141"/>
      <c r="EP74" s="141"/>
      <c r="EQ74" s="141"/>
      <c r="ER74" s="141"/>
      <c r="ES74" s="141"/>
      <c r="ET74" s="141"/>
      <c r="EU74" s="141"/>
      <c r="EV74" s="141"/>
      <c r="EW74" s="141"/>
      <c r="EX74" s="141"/>
      <c r="EY74" s="141"/>
      <c r="EZ74" s="141"/>
      <c r="FA74" s="141"/>
      <c r="FB74" s="141"/>
      <c r="FC74" s="141"/>
      <c r="FD74" s="141"/>
      <c r="FE74" s="141"/>
      <c r="FF74" s="141"/>
      <c r="FG74" s="141"/>
      <c r="FH74" s="141"/>
      <c r="FI74" s="141"/>
      <c r="FJ74" s="141"/>
      <c r="FK74" s="141"/>
      <c r="FL74" s="141"/>
      <c r="FM74" s="141"/>
      <c r="FN74" s="141"/>
      <c r="FO74" s="141"/>
      <c r="FP74" s="141"/>
      <c r="FQ74" s="141"/>
      <c r="FR74" s="141"/>
      <c r="FS74" s="141"/>
      <c r="FT74" s="141"/>
      <c r="FU74" s="141"/>
      <c r="FV74" s="141"/>
      <c r="FW74" s="141"/>
      <c r="FX74" s="141"/>
      <c r="FY74" s="141"/>
      <c r="FZ74" s="141"/>
      <c r="GA74" s="141"/>
      <c r="GB74" s="141"/>
      <c r="GC74" s="141"/>
      <c r="GD74" s="141"/>
      <c r="GE74" s="141"/>
      <c r="GF74" s="141"/>
      <c r="GG74" s="141"/>
      <c r="GH74" s="141"/>
      <c r="GI74" s="141"/>
      <c r="GJ74" s="141"/>
      <c r="GK74" s="141"/>
      <c r="GL74" s="141"/>
      <c r="GM74" s="141"/>
      <c r="GN74" s="141"/>
      <c r="GO74" s="141"/>
      <c r="GP74" s="141"/>
      <c r="GQ74" s="141"/>
      <c r="GR74" s="141"/>
      <c r="GS74" s="141"/>
      <c r="GT74" s="141"/>
      <c r="GU74" s="141"/>
      <c r="GV74" s="141"/>
      <c r="GW74" s="141"/>
      <c r="GX74" s="141"/>
      <c r="GY74" s="141"/>
      <c r="GZ74" s="141"/>
    </row>
    <row r="75" spans="1:208" s="134" customFormat="1" ht="20.399999999999999">
      <c r="A75" s="336" t="s">
        <v>330</v>
      </c>
      <c r="B75" s="136"/>
      <c r="C75" s="136"/>
      <c r="D75" s="151"/>
      <c r="E75" s="151"/>
      <c r="F75" s="136"/>
      <c r="G75" s="136"/>
      <c r="H75" s="151"/>
      <c r="I75" s="151"/>
      <c r="J75" s="150"/>
      <c r="K75" s="150"/>
      <c r="L75" s="150"/>
      <c r="M75" s="150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>
        <v>0</v>
      </c>
      <c r="Y75" s="151"/>
      <c r="Z75" s="133">
        <f t="shared" si="19"/>
        <v>0</v>
      </c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41"/>
      <c r="CH75" s="141"/>
      <c r="CI75" s="141"/>
      <c r="CJ75" s="141"/>
      <c r="CK75" s="141"/>
      <c r="CL75" s="141"/>
      <c r="CM75" s="141"/>
      <c r="CN75" s="141"/>
      <c r="CO75" s="141"/>
      <c r="CP75" s="141"/>
      <c r="CQ75" s="141"/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/>
      <c r="EC75" s="141"/>
      <c r="ED75" s="141"/>
      <c r="EE75" s="141"/>
      <c r="EF75" s="141"/>
      <c r="EG75" s="141"/>
      <c r="EH75" s="141"/>
      <c r="EI75" s="141"/>
      <c r="EJ75" s="141"/>
      <c r="EK75" s="141"/>
      <c r="EL75" s="141"/>
      <c r="EM75" s="141"/>
      <c r="EN75" s="141"/>
      <c r="EO75" s="141"/>
      <c r="EP75" s="141"/>
      <c r="EQ75" s="141"/>
      <c r="ER75" s="141"/>
      <c r="ES75" s="141"/>
      <c r="ET75" s="141"/>
      <c r="EU75" s="141"/>
      <c r="EV75" s="141"/>
      <c r="EW75" s="141"/>
      <c r="EX75" s="141"/>
      <c r="EY75" s="141"/>
      <c r="EZ75" s="141"/>
      <c r="FA75" s="141"/>
      <c r="FB75" s="141"/>
      <c r="FC75" s="141"/>
      <c r="FD75" s="141"/>
      <c r="FE75" s="141"/>
      <c r="FF75" s="141"/>
      <c r="FG75" s="141"/>
      <c r="FH75" s="141"/>
      <c r="FI75" s="141"/>
      <c r="FJ75" s="141"/>
      <c r="FK75" s="141"/>
      <c r="FL75" s="141"/>
      <c r="FM75" s="141"/>
      <c r="FN75" s="141"/>
      <c r="FO75" s="141"/>
      <c r="FP75" s="141"/>
      <c r="FQ75" s="141"/>
      <c r="FR75" s="141"/>
      <c r="FS75" s="141"/>
      <c r="FT75" s="141"/>
      <c r="FU75" s="141"/>
      <c r="FV75" s="141"/>
      <c r="FW75" s="141"/>
      <c r="FX75" s="141"/>
      <c r="FY75" s="141"/>
      <c r="FZ75" s="141"/>
      <c r="GA75" s="141"/>
      <c r="GB75" s="141"/>
      <c r="GC75" s="141"/>
      <c r="GD75" s="141"/>
      <c r="GE75" s="141"/>
      <c r="GF75" s="141"/>
      <c r="GG75" s="141"/>
      <c r="GH75" s="141"/>
      <c r="GI75" s="141"/>
      <c r="GJ75" s="141"/>
      <c r="GK75" s="141"/>
      <c r="GL75" s="141"/>
      <c r="GM75" s="141"/>
      <c r="GN75" s="141"/>
      <c r="GO75" s="141"/>
      <c r="GP75" s="141"/>
      <c r="GQ75" s="141"/>
      <c r="GR75" s="141"/>
      <c r="GS75" s="141"/>
      <c r="GT75" s="141"/>
      <c r="GU75" s="141"/>
      <c r="GV75" s="141"/>
      <c r="GW75" s="141"/>
      <c r="GX75" s="141"/>
      <c r="GY75" s="141"/>
      <c r="GZ75" s="141"/>
    </row>
    <row r="76" spans="1:208" s="134" customFormat="1" ht="20.25" customHeight="1">
      <c r="A76" s="336" t="s">
        <v>331</v>
      </c>
      <c r="B76" s="136"/>
      <c r="C76" s="136"/>
      <c r="D76" s="151"/>
      <c r="E76" s="151"/>
      <c r="F76" s="136"/>
      <c r="G76" s="136"/>
      <c r="H76" s="151"/>
      <c r="I76" s="151"/>
      <c r="J76" s="150"/>
      <c r="K76" s="150"/>
      <c r="L76" s="150"/>
      <c r="M76" s="150"/>
      <c r="N76" s="151"/>
      <c r="O76" s="151"/>
      <c r="P76" s="151"/>
      <c r="Q76" s="151"/>
      <c r="R76" s="151"/>
      <c r="S76" s="151"/>
      <c r="T76" s="151"/>
      <c r="U76" s="151"/>
      <c r="V76" s="151">
        <v>0</v>
      </c>
      <c r="W76" s="151"/>
      <c r="X76" s="151"/>
      <c r="Y76" s="151"/>
      <c r="Z76" s="133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1"/>
      <c r="FF76" s="141"/>
      <c r="FG76" s="141"/>
      <c r="FH76" s="141"/>
      <c r="FI76" s="141"/>
      <c r="FJ76" s="141"/>
      <c r="FK76" s="141"/>
      <c r="FL76" s="141"/>
      <c r="FM76" s="141"/>
      <c r="FN76" s="141"/>
      <c r="FO76" s="141"/>
      <c r="FP76" s="141"/>
      <c r="FQ76" s="141"/>
      <c r="FR76" s="141"/>
      <c r="FS76" s="141"/>
      <c r="FT76" s="141"/>
      <c r="FU76" s="141"/>
      <c r="FV76" s="141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</row>
    <row r="77" spans="1:208" s="134" customFormat="1" ht="20.25" customHeight="1">
      <c r="A77" s="336" t="s">
        <v>332</v>
      </c>
      <c r="B77" s="136"/>
      <c r="C77" s="136"/>
      <c r="D77" s="151"/>
      <c r="E77" s="151"/>
      <c r="F77" s="136"/>
      <c r="G77" s="136"/>
      <c r="H77" s="151"/>
      <c r="I77" s="151"/>
      <c r="J77" s="150"/>
      <c r="K77" s="150"/>
      <c r="L77" s="150"/>
      <c r="M77" s="150"/>
      <c r="N77" s="151"/>
      <c r="O77" s="151"/>
      <c r="P77" s="151"/>
      <c r="Q77" s="151"/>
      <c r="R77" s="151"/>
      <c r="S77" s="151">
        <v>0</v>
      </c>
      <c r="T77" s="151"/>
      <c r="U77" s="151"/>
      <c r="V77" s="151"/>
      <c r="W77" s="151"/>
      <c r="X77" s="151"/>
      <c r="Y77" s="151"/>
      <c r="Z77" s="133">
        <f t="shared" si="19"/>
        <v>0</v>
      </c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  <c r="BI77" s="141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BY77" s="141"/>
      <c r="BZ77" s="141"/>
      <c r="CA77" s="141"/>
      <c r="CB77" s="141"/>
      <c r="CC77" s="141"/>
      <c r="CD77" s="141"/>
      <c r="CE77" s="141"/>
      <c r="CF77" s="141"/>
      <c r="CG77" s="141"/>
      <c r="CH77" s="141"/>
      <c r="CI77" s="141"/>
      <c r="CJ77" s="141"/>
      <c r="CK77" s="141"/>
      <c r="CL77" s="141"/>
      <c r="CM77" s="141"/>
      <c r="CN77" s="141"/>
      <c r="CO77" s="141"/>
      <c r="CP77" s="141"/>
      <c r="CQ77" s="141"/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/>
      <c r="EC77" s="141"/>
      <c r="ED77" s="141"/>
      <c r="EE77" s="141"/>
      <c r="EF77" s="141"/>
      <c r="EG77" s="141"/>
      <c r="EH77" s="141"/>
      <c r="EI77" s="141"/>
      <c r="EJ77" s="141"/>
      <c r="EK77" s="141"/>
      <c r="EL77" s="141"/>
      <c r="EM77" s="141"/>
      <c r="EN77" s="141"/>
      <c r="EO77" s="141"/>
      <c r="EP77" s="141"/>
      <c r="EQ77" s="141"/>
      <c r="ER77" s="141"/>
      <c r="ES77" s="141"/>
      <c r="ET77" s="141"/>
      <c r="EU77" s="141"/>
      <c r="EV77" s="141"/>
      <c r="EW77" s="141"/>
      <c r="EX77" s="141"/>
      <c r="EY77" s="141"/>
      <c r="EZ77" s="141"/>
      <c r="FA77" s="141"/>
      <c r="FB77" s="141"/>
      <c r="FC77" s="141"/>
      <c r="FD77" s="141"/>
      <c r="FE77" s="141"/>
      <c r="FF77" s="141"/>
      <c r="FG77" s="141"/>
      <c r="FH77" s="141"/>
      <c r="FI77" s="141"/>
      <c r="FJ77" s="141"/>
      <c r="FK77" s="141"/>
      <c r="FL77" s="141"/>
      <c r="FM77" s="141"/>
      <c r="FN77" s="141"/>
      <c r="FO77" s="141"/>
      <c r="FP77" s="141"/>
      <c r="FQ77" s="141"/>
      <c r="FR77" s="141"/>
      <c r="FS77" s="141"/>
      <c r="FT77" s="141"/>
      <c r="FU77" s="141"/>
      <c r="FV77" s="141"/>
      <c r="FW77" s="141"/>
      <c r="FX77" s="141"/>
      <c r="FY77" s="141"/>
      <c r="FZ77" s="141"/>
      <c r="GA77" s="141"/>
      <c r="GB77" s="141"/>
      <c r="GC77" s="141"/>
      <c r="GD77" s="141"/>
      <c r="GE77" s="141"/>
      <c r="GF77" s="141"/>
      <c r="GG77" s="141"/>
      <c r="GH77" s="141"/>
      <c r="GI77" s="141"/>
      <c r="GJ77" s="141"/>
      <c r="GK77" s="141"/>
      <c r="GL77" s="141"/>
      <c r="GM77" s="141"/>
      <c r="GN77" s="141"/>
      <c r="GO77" s="141"/>
      <c r="GP77" s="141"/>
      <c r="GQ77" s="141"/>
      <c r="GR77" s="141"/>
      <c r="GS77" s="141"/>
      <c r="GT77" s="141"/>
      <c r="GU77" s="141"/>
      <c r="GV77" s="141"/>
      <c r="GW77" s="141"/>
      <c r="GX77" s="141"/>
      <c r="GY77" s="141"/>
      <c r="GZ77" s="141"/>
    </row>
    <row r="78" spans="1:208" s="134" customFormat="1" ht="20.25" customHeight="1">
      <c r="A78" s="336" t="s">
        <v>333</v>
      </c>
      <c r="B78" s="136">
        <v>0</v>
      </c>
      <c r="C78" s="136">
        <v>0</v>
      </c>
      <c r="D78" s="151"/>
      <c r="E78" s="151"/>
      <c r="F78" s="136">
        <v>0</v>
      </c>
      <c r="G78" s="136"/>
      <c r="H78" s="151"/>
      <c r="I78" s="151"/>
      <c r="J78" s="150"/>
      <c r="K78" s="150"/>
      <c r="L78" s="150"/>
      <c r="M78" s="150"/>
      <c r="N78" s="151"/>
      <c r="O78" s="151"/>
      <c r="P78" s="151"/>
      <c r="Q78" s="151"/>
      <c r="R78" s="151"/>
      <c r="S78" s="151">
        <v>0</v>
      </c>
      <c r="T78" s="151"/>
      <c r="U78" s="151"/>
      <c r="V78" s="151"/>
      <c r="W78" s="151"/>
      <c r="X78" s="151"/>
      <c r="Y78" s="151"/>
      <c r="Z78" s="133">
        <f t="shared" si="19"/>
        <v>0</v>
      </c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  <c r="CK78" s="141"/>
      <c r="CL78" s="141"/>
      <c r="CM78" s="141"/>
      <c r="CN78" s="141"/>
      <c r="CO78" s="141"/>
      <c r="CP78" s="141"/>
      <c r="CQ78" s="141"/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/>
      <c r="EB78" s="141"/>
      <c r="EC78" s="141"/>
      <c r="ED78" s="141"/>
      <c r="EE78" s="141"/>
      <c r="EF78" s="141"/>
      <c r="EG78" s="141"/>
      <c r="EH78" s="141"/>
      <c r="EI78" s="141"/>
      <c r="EJ78" s="141"/>
      <c r="EK78" s="141"/>
      <c r="EL78" s="141"/>
      <c r="EM78" s="141"/>
      <c r="EN78" s="141"/>
      <c r="EO78" s="141"/>
      <c r="EP78" s="141"/>
      <c r="EQ78" s="141"/>
      <c r="ER78" s="141"/>
      <c r="ES78" s="141"/>
      <c r="ET78" s="141"/>
      <c r="EU78" s="141"/>
      <c r="EV78" s="141"/>
      <c r="EW78" s="141"/>
      <c r="EX78" s="141"/>
      <c r="EY78" s="141"/>
      <c r="EZ78" s="141"/>
      <c r="FA78" s="141"/>
      <c r="FB78" s="141"/>
      <c r="FC78" s="141"/>
      <c r="FD78" s="141"/>
      <c r="FE78" s="141"/>
      <c r="FF78" s="141"/>
      <c r="FG78" s="141"/>
      <c r="FH78" s="141"/>
      <c r="FI78" s="141"/>
      <c r="FJ78" s="141"/>
      <c r="FK78" s="141"/>
      <c r="FL78" s="141"/>
      <c r="FM78" s="141"/>
      <c r="FN78" s="141"/>
      <c r="FO78" s="141"/>
      <c r="FP78" s="141"/>
      <c r="FQ78" s="141"/>
      <c r="FR78" s="141"/>
      <c r="FS78" s="141"/>
      <c r="FT78" s="141"/>
      <c r="FU78" s="141"/>
      <c r="FV78" s="141"/>
      <c r="FW78" s="141"/>
      <c r="FX78" s="141"/>
      <c r="FY78" s="141"/>
      <c r="FZ78" s="141"/>
      <c r="GA78" s="141"/>
      <c r="GB78" s="141"/>
      <c r="GC78" s="141"/>
      <c r="GD78" s="141"/>
      <c r="GE78" s="141"/>
      <c r="GF78" s="141"/>
      <c r="GG78" s="141"/>
      <c r="GH78" s="141"/>
      <c r="GI78" s="141"/>
      <c r="GJ78" s="141"/>
      <c r="GK78" s="141"/>
      <c r="GL78" s="141"/>
      <c r="GM78" s="141"/>
      <c r="GN78" s="141"/>
      <c r="GO78" s="141"/>
      <c r="GP78" s="141"/>
      <c r="GQ78" s="141"/>
      <c r="GR78" s="141"/>
      <c r="GS78" s="141"/>
      <c r="GT78" s="141"/>
      <c r="GU78" s="141"/>
      <c r="GV78" s="141"/>
      <c r="GW78" s="141"/>
      <c r="GX78" s="141"/>
      <c r="GY78" s="141"/>
      <c r="GZ78" s="141"/>
    </row>
    <row r="79" spans="1:208" s="134" customFormat="1" ht="20.25" customHeight="1">
      <c r="A79" s="336" t="s">
        <v>334</v>
      </c>
      <c r="B79" s="136">
        <v>0</v>
      </c>
      <c r="C79" s="136">
        <v>0</v>
      </c>
      <c r="D79" s="151"/>
      <c r="E79" s="151"/>
      <c r="F79" s="136"/>
      <c r="G79" s="136">
        <v>0</v>
      </c>
      <c r="H79" s="151">
        <v>0</v>
      </c>
      <c r="I79" s="151"/>
      <c r="J79" s="151"/>
      <c r="K79" s="151"/>
      <c r="L79" s="151"/>
      <c r="M79" s="150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33">
        <f t="shared" si="19"/>
        <v>0</v>
      </c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  <c r="BI79" s="141"/>
      <c r="BJ79" s="141"/>
      <c r="BK79" s="141"/>
      <c r="BL79" s="141"/>
      <c r="BM79" s="141"/>
      <c r="BN79" s="141"/>
      <c r="BO79" s="141"/>
      <c r="BP79" s="141"/>
      <c r="BQ79" s="141"/>
      <c r="BR79" s="141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  <c r="CK79" s="141"/>
      <c r="CL79" s="141"/>
      <c r="CM79" s="141"/>
      <c r="CN79" s="141"/>
      <c r="CO79" s="141"/>
      <c r="CP79" s="141"/>
      <c r="CQ79" s="141"/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  <c r="DK79" s="141"/>
      <c r="DL79" s="141"/>
      <c r="DM79" s="141"/>
      <c r="DN79" s="141"/>
      <c r="DO79" s="141"/>
      <c r="DP79" s="141"/>
      <c r="DQ79" s="141"/>
      <c r="DR79" s="141"/>
      <c r="DS79" s="141"/>
      <c r="DT79" s="141"/>
      <c r="DU79" s="141"/>
      <c r="DV79" s="141"/>
      <c r="DW79" s="141"/>
      <c r="DX79" s="141"/>
      <c r="DY79" s="141"/>
      <c r="DZ79" s="141"/>
      <c r="EA79" s="141"/>
      <c r="EB79" s="141"/>
      <c r="EC79" s="141"/>
      <c r="ED79" s="141"/>
      <c r="EE79" s="141"/>
      <c r="EF79" s="141"/>
      <c r="EG79" s="141"/>
      <c r="EH79" s="141"/>
      <c r="EI79" s="141"/>
      <c r="EJ79" s="141"/>
      <c r="EK79" s="141"/>
      <c r="EL79" s="141"/>
      <c r="EM79" s="141"/>
      <c r="EN79" s="141"/>
      <c r="EO79" s="141"/>
      <c r="EP79" s="141"/>
      <c r="EQ79" s="141"/>
      <c r="ER79" s="141"/>
      <c r="ES79" s="141"/>
      <c r="ET79" s="141"/>
      <c r="EU79" s="141"/>
      <c r="EV79" s="141"/>
      <c r="EW79" s="141"/>
      <c r="EX79" s="141"/>
      <c r="EY79" s="141"/>
      <c r="EZ79" s="141"/>
      <c r="FA79" s="141"/>
      <c r="FB79" s="141"/>
      <c r="FC79" s="141"/>
      <c r="FD79" s="141"/>
      <c r="FE79" s="141"/>
      <c r="FF79" s="141"/>
      <c r="FG79" s="141"/>
      <c r="FH79" s="141"/>
      <c r="FI79" s="141"/>
      <c r="FJ79" s="141"/>
      <c r="FK79" s="141"/>
      <c r="FL79" s="141"/>
      <c r="FM79" s="141"/>
      <c r="FN79" s="141"/>
      <c r="FO79" s="141"/>
      <c r="FP79" s="141"/>
      <c r="FQ79" s="141"/>
      <c r="FR79" s="141"/>
      <c r="FS79" s="141"/>
      <c r="FT79" s="141"/>
      <c r="FU79" s="141"/>
      <c r="FV79" s="141"/>
      <c r="FW79" s="141"/>
      <c r="FX79" s="141"/>
      <c r="FY79" s="141"/>
      <c r="FZ79" s="141"/>
      <c r="GA79" s="141"/>
      <c r="GB79" s="141"/>
      <c r="GC79" s="141"/>
      <c r="GD79" s="141"/>
      <c r="GE79" s="141"/>
      <c r="GF79" s="141"/>
      <c r="GG79" s="141"/>
      <c r="GH79" s="141"/>
      <c r="GI79" s="141"/>
      <c r="GJ79" s="141"/>
      <c r="GK79" s="141"/>
      <c r="GL79" s="141"/>
      <c r="GM79" s="141"/>
      <c r="GN79" s="141"/>
      <c r="GO79" s="141"/>
      <c r="GP79" s="141"/>
      <c r="GQ79" s="141"/>
      <c r="GR79" s="141"/>
      <c r="GS79" s="141"/>
      <c r="GT79" s="141"/>
      <c r="GU79" s="141"/>
      <c r="GV79" s="141"/>
      <c r="GW79" s="141"/>
      <c r="GX79" s="141"/>
      <c r="GY79" s="141"/>
      <c r="GZ79" s="141"/>
    </row>
    <row r="80" spans="1:208" s="134" customFormat="1" ht="20.25" customHeight="1" thickBot="1">
      <c r="A80" s="337" t="s">
        <v>335</v>
      </c>
      <c r="B80" s="136"/>
      <c r="C80" s="136"/>
      <c r="D80" s="151"/>
      <c r="E80" s="151"/>
      <c r="F80" s="136">
        <v>0</v>
      </c>
      <c r="G80" s="136"/>
      <c r="H80" s="151"/>
      <c r="I80" s="151"/>
      <c r="J80" s="151"/>
      <c r="K80" s="151"/>
      <c r="L80" s="151"/>
      <c r="M80" s="150">
        <v>0</v>
      </c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>
        <v>98090</v>
      </c>
      <c r="Y80" s="151"/>
      <c r="Z80" s="133">
        <f t="shared" si="19"/>
        <v>98090</v>
      </c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/>
      <c r="CB80" s="141"/>
      <c r="CC80" s="141"/>
      <c r="CD80" s="141"/>
      <c r="CE80" s="141"/>
      <c r="CF80" s="141"/>
      <c r="CG80" s="141"/>
      <c r="CH80" s="141"/>
      <c r="CI80" s="141"/>
      <c r="CJ80" s="141"/>
      <c r="CK80" s="141"/>
      <c r="CL80" s="141"/>
      <c r="CM80" s="141"/>
      <c r="CN80" s="141"/>
      <c r="CO80" s="141"/>
      <c r="CP80" s="141"/>
      <c r="CQ80" s="141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/>
      <c r="EB80" s="141"/>
      <c r="EC80" s="141"/>
      <c r="ED80" s="141"/>
      <c r="EE80" s="141"/>
      <c r="EF80" s="141"/>
      <c r="EG80" s="141"/>
      <c r="EH80" s="141"/>
      <c r="EI80" s="141"/>
      <c r="EJ80" s="141"/>
      <c r="EK80" s="141"/>
      <c r="EL80" s="141"/>
      <c r="EM80" s="141"/>
      <c r="EN80" s="141"/>
      <c r="EO80" s="141"/>
      <c r="EP80" s="141"/>
      <c r="EQ80" s="141"/>
      <c r="ER80" s="141"/>
      <c r="ES80" s="141"/>
      <c r="ET80" s="141"/>
      <c r="EU80" s="141"/>
      <c r="EV80" s="141"/>
      <c r="EW80" s="141"/>
      <c r="EX80" s="141"/>
      <c r="EY80" s="141"/>
      <c r="EZ80" s="141"/>
      <c r="FA80" s="141"/>
      <c r="FB80" s="141"/>
      <c r="FC80" s="141"/>
      <c r="FD80" s="141"/>
      <c r="FE80" s="141"/>
      <c r="FF80" s="141"/>
      <c r="FG80" s="141"/>
      <c r="FH80" s="141"/>
      <c r="FI80" s="141"/>
      <c r="FJ80" s="141"/>
      <c r="FK80" s="141"/>
      <c r="FL80" s="141"/>
      <c r="FM80" s="141"/>
      <c r="FN80" s="141"/>
      <c r="FO80" s="141"/>
      <c r="FP80" s="141"/>
      <c r="FQ80" s="141"/>
      <c r="FR80" s="141"/>
      <c r="FS80" s="141"/>
      <c r="FT80" s="141"/>
      <c r="FU80" s="141"/>
      <c r="FV80" s="141"/>
      <c r="FW80" s="141"/>
      <c r="FX80" s="141"/>
      <c r="FY80" s="141"/>
      <c r="FZ80" s="141"/>
      <c r="GA80" s="141"/>
      <c r="GB80" s="141"/>
      <c r="GC80" s="141"/>
      <c r="GD80" s="141"/>
      <c r="GE80" s="141"/>
      <c r="GF80" s="141"/>
      <c r="GG80" s="141"/>
      <c r="GH80" s="141"/>
      <c r="GI80" s="141"/>
      <c r="GJ80" s="141"/>
      <c r="GK80" s="141"/>
      <c r="GL80" s="141"/>
      <c r="GM80" s="141"/>
      <c r="GN80" s="141"/>
      <c r="GO80" s="141"/>
      <c r="GP80" s="141"/>
      <c r="GQ80" s="141"/>
      <c r="GR80" s="141"/>
      <c r="GS80" s="141"/>
      <c r="GT80" s="141"/>
      <c r="GU80" s="141"/>
      <c r="GV80" s="141"/>
      <c r="GW80" s="141"/>
      <c r="GX80" s="141"/>
      <c r="GY80" s="141"/>
      <c r="GZ80" s="141"/>
    </row>
    <row r="81" spans="1:208" s="134" customFormat="1" ht="20.25" customHeight="1">
      <c r="A81" s="343" t="s">
        <v>237</v>
      </c>
      <c r="B81" s="138">
        <f>SUM(B68:B80)</f>
        <v>42709</v>
      </c>
      <c r="C81" s="138">
        <f t="shared" ref="C81:Y81" si="20">SUM(C69:C80)</f>
        <v>0</v>
      </c>
      <c r="D81" s="138">
        <f t="shared" si="20"/>
        <v>0</v>
      </c>
      <c r="E81" s="138">
        <f t="shared" si="20"/>
        <v>0</v>
      </c>
      <c r="F81" s="138">
        <f t="shared" si="20"/>
        <v>0</v>
      </c>
      <c r="G81" s="138">
        <f t="shared" si="20"/>
        <v>0</v>
      </c>
      <c r="H81" s="138">
        <f t="shared" si="20"/>
        <v>0</v>
      </c>
      <c r="I81" s="138">
        <f t="shared" si="20"/>
        <v>0</v>
      </c>
      <c r="J81" s="138">
        <f t="shared" si="20"/>
        <v>0</v>
      </c>
      <c r="K81" s="138">
        <f t="shared" si="20"/>
        <v>0</v>
      </c>
      <c r="L81" s="138">
        <f t="shared" si="20"/>
        <v>0</v>
      </c>
      <c r="M81" s="138">
        <f t="shared" si="20"/>
        <v>0</v>
      </c>
      <c r="N81" s="138">
        <f t="shared" si="20"/>
        <v>0</v>
      </c>
      <c r="O81" s="138">
        <f t="shared" si="20"/>
        <v>0</v>
      </c>
      <c r="P81" s="138">
        <f t="shared" si="20"/>
        <v>0</v>
      </c>
      <c r="Q81" s="138">
        <f t="shared" si="20"/>
        <v>0</v>
      </c>
      <c r="R81" s="138">
        <f t="shared" si="20"/>
        <v>0</v>
      </c>
      <c r="S81" s="138">
        <f t="shared" si="20"/>
        <v>0</v>
      </c>
      <c r="T81" s="138">
        <f t="shared" si="20"/>
        <v>0</v>
      </c>
      <c r="U81" s="138">
        <f t="shared" si="20"/>
        <v>0</v>
      </c>
      <c r="V81" s="138">
        <f t="shared" si="20"/>
        <v>0</v>
      </c>
      <c r="W81" s="138">
        <f t="shared" si="20"/>
        <v>0</v>
      </c>
      <c r="X81" s="138">
        <f t="shared" si="20"/>
        <v>98090</v>
      </c>
      <c r="Y81" s="138">
        <f t="shared" si="20"/>
        <v>0</v>
      </c>
      <c r="Z81" s="140">
        <f t="shared" si="19"/>
        <v>140799</v>
      </c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/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/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141"/>
      <c r="FE81" s="141"/>
      <c r="FF81" s="141"/>
      <c r="FG81" s="141"/>
      <c r="FH81" s="141"/>
      <c r="FI81" s="141"/>
      <c r="FJ81" s="141"/>
      <c r="FK81" s="141"/>
      <c r="FL81" s="141"/>
      <c r="FM81" s="141"/>
      <c r="FN81" s="141"/>
      <c r="FO81" s="141"/>
      <c r="FP81" s="141"/>
      <c r="FQ81" s="141"/>
      <c r="FR81" s="141"/>
      <c r="FS81" s="141"/>
      <c r="FT81" s="141"/>
      <c r="FU81" s="141"/>
      <c r="FV81" s="141"/>
      <c r="FW81" s="141"/>
      <c r="FX81" s="141"/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1"/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</row>
    <row r="82" spans="1:208" s="134" customFormat="1" ht="20.25" customHeight="1" thickBot="1">
      <c r="A82" s="344" t="s">
        <v>238</v>
      </c>
      <c r="B82" s="137">
        <f t="shared" ref="B82:Y82" si="21">B81+B67</f>
        <v>104943</v>
      </c>
      <c r="C82" s="137">
        <f t="shared" si="21"/>
        <v>9120</v>
      </c>
      <c r="D82" s="137">
        <f t="shared" si="21"/>
        <v>9500</v>
      </c>
      <c r="E82" s="137">
        <f t="shared" si="21"/>
        <v>0</v>
      </c>
      <c r="F82" s="137">
        <f t="shared" si="21"/>
        <v>799098.8</v>
      </c>
      <c r="G82" s="137">
        <f t="shared" si="21"/>
        <v>0</v>
      </c>
      <c r="H82" s="137">
        <f t="shared" si="21"/>
        <v>0</v>
      </c>
      <c r="I82" s="137">
        <f t="shared" si="21"/>
        <v>0</v>
      </c>
      <c r="J82" s="137">
        <f t="shared" si="21"/>
        <v>0</v>
      </c>
      <c r="K82" s="137">
        <f t="shared" si="21"/>
        <v>0</v>
      </c>
      <c r="L82" s="137">
        <f t="shared" si="21"/>
        <v>0</v>
      </c>
      <c r="M82" s="137">
        <f t="shared" si="21"/>
        <v>600</v>
      </c>
      <c r="N82" s="137">
        <f t="shared" si="21"/>
        <v>0</v>
      </c>
      <c r="O82" s="137">
        <f t="shared" si="21"/>
        <v>0</v>
      </c>
      <c r="P82" s="137">
        <f t="shared" si="21"/>
        <v>0</v>
      </c>
      <c r="Q82" s="137">
        <f t="shared" si="21"/>
        <v>0</v>
      </c>
      <c r="R82" s="137">
        <f t="shared" si="21"/>
        <v>0</v>
      </c>
      <c r="S82" s="137">
        <f t="shared" si="21"/>
        <v>0</v>
      </c>
      <c r="T82" s="137">
        <f t="shared" si="21"/>
        <v>0</v>
      </c>
      <c r="U82" s="137">
        <f t="shared" si="21"/>
        <v>0</v>
      </c>
      <c r="V82" s="137">
        <f t="shared" si="21"/>
        <v>0</v>
      </c>
      <c r="W82" s="137">
        <f t="shared" si="21"/>
        <v>0</v>
      </c>
      <c r="X82" s="137">
        <f t="shared" si="21"/>
        <v>107540</v>
      </c>
      <c r="Y82" s="137">
        <f t="shared" si="21"/>
        <v>0</v>
      </c>
      <c r="Z82" s="144">
        <f t="shared" si="19"/>
        <v>1030801.8</v>
      </c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1"/>
      <c r="BR82" s="141"/>
      <c r="BS82" s="141"/>
      <c r="BT82" s="141"/>
      <c r="BU82" s="141"/>
      <c r="BV82" s="141"/>
      <c r="BW82" s="141"/>
      <c r="BX82" s="141"/>
      <c r="BY82" s="141"/>
      <c r="BZ82" s="141"/>
      <c r="CA82" s="141"/>
      <c r="CB82" s="141"/>
      <c r="CC82" s="141"/>
      <c r="CD82" s="141"/>
      <c r="CE82" s="141"/>
      <c r="CF82" s="141"/>
      <c r="CG82" s="141"/>
      <c r="CH82" s="141"/>
      <c r="CI82" s="141"/>
      <c r="CJ82" s="141"/>
      <c r="CK82" s="141"/>
      <c r="CL82" s="141"/>
      <c r="CM82" s="141"/>
      <c r="CN82" s="141"/>
      <c r="CO82" s="141"/>
      <c r="CP82" s="141"/>
      <c r="CQ82" s="141"/>
      <c r="CR82" s="141"/>
      <c r="CS82" s="141"/>
      <c r="CT82" s="141"/>
      <c r="CU82" s="141"/>
      <c r="CV82" s="141"/>
      <c r="CW82" s="141"/>
      <c r="CX82" s="141"/>
      <c r="CY82" s="141"/>
      <c r="CZ82" s="141"/>
      <c r="DA82" s="141"/>
      <c r="DB82" s="141"/>
      <c r="DC82" s="141"/>
      <c r="DD82" s="141"/>
      <c r="DE82" s="141"/>
      <c r="DF82" s="141"/>
      <c r="DG82" s="141"/>
      <c r="DH82" s="141"/>
      <c r="DI82" s="141"/>
      <c r="DJ82" s="141"/>
      <c r="DK82" s="141"/>
      <c r="DL82" s="141"/>
      <c r="DM82" s="141"/>
      <c r="DN82" s="141"/>
      <c r="DO82" s="141"/>
      <c r="DP82" s="141"/>
      <c r="DQ82" s="141"/>
      <c r="DR82" s="141"/>
      <c r="DS82" s="141"/>
      <c r="DT82" s="141"/>
      <c r="DU82" s="141"/>
      <c r="DV82" s="141"/>
      <c r="DW82" s="141"/>
      <c r="DX82" s="141"/>
      <c r="DY82" s="141"/>
      <c r="DZ82" s="141"/>
      <c r="EA82" s="141"/>
      <c r="EB82" s="141"/>
      <c r="EC82" s="141"/>
      <c r="ED82" s="141"/>
      <c r="EE82" s="141"/>
      <c r="EF82" s="141"/>
      <c r="EG82" s="141"/>
      <c r="EH82" s="141"/>
      <c r="EI82" s="141"/>
      <c r="EJ82" s="141"/>
      <c r="EK82" s="141"/>
      <c r="EL82" s="141"/>
      <c r="EM82" s="141"/>
      <c r="EN82" s="141"/>
      <c r="EO82" s="141"/>
      <c r="EP82" s="141"/>
      <c r="EQ82" s="141"/>
      <c r="ER82" s="141"/>
      <c r="ES82" s="141"/>
      <c r="ET82" s="141"/>
      <c r="EU82" s="141"/>
      <c r="EV82" s="141"/>
      <c r="EW82" s="141"/>
      <c r="EX82" s="141"/>
      <c r="EY82" s="141"/>
      <c r="EZ82" s="141"/>
      <c r="FA82" s="141"/>
      <c r="FB82" s="141"/>
      <c r="FC82" s="141"/>
      <c r="FD82" s="141"/>
      <c r="FE82" s="141"/>
      <c r="FF82" s="141"/>
      <c r="FG82" s="141"/>
      <c r="FH82" s="141"/>
      <c r="FI82" s="141"/>
      <c r="FJ82" s="141"/>
      <c r="FK82" s="141"/>
      <c r="FL82" s="141"/>
      <c r="FM82" s="141"/>
      <c r="FN82" s="141"/>
      <c r="FO82" s="141"/>
      <c r="FP82" s="141"/>
      <c r="FQ82" s="141"/>
      <c r="FR82" s="141"/>
      <c r="FS82" s="141"/>
      <c r="FT82" s="141"/>
      <c r="FU82" s="141"/>
      <c r="FV82" s="141"/>
      <c r="FW82" s="141"/>
      <c r="FX82" s="141"/>
      <c r="FY82" s="141"/>
      <c r="FZ82" s="141"/>
      <c r="GA82" s="141"/>
      <c r="GB82" s="141"/>
      <c r="GC82" s="141"/>
      <c r="GD82" s="141"/>
      <c r="GE82" s="141"/>
      <c r="GF82" s="141"/>
      <c r="GG82" s="141"/>
      <c r="GH82" s="141"/>
      <c r="GI82" s="141"/>
      <c r="GJ82" s="141"/>
      <c r="GK82" s="141"/>
      <c r="GL82" s="141"/>
      <c r="GM82" s="141"/>
      <c r="GN82" s="141"/>
      <c r="GO82" s="141"/>
      <c r="GP82" s="141"/>
      <c r="GQ82" s="141"/>
      <c r="GR82" s="141"/>
      <c r="GS82" s="141"/>
      <c r="GT82" s="141"/>
      <c r="GU82" s="141"/>
      <c r="GV82" s="141"/>
      <c r="GW82" s="141"/>
      <c r="GX82" s="141"/>
      <c r="GY82" s="141"/>
      <c r="GZ82" s="141"/>
    </row>
    <row r="83" spans="1:208" s="141" customFormat="1" ht="20.25" customHeight="1">
      <c r="A83" s="168"/>
    </row>
    <row r="84" spans="1:208" s="141" customFormat="1" ht="20.25" customHeight="1">
      <c r="A84" s="168"/>
    </row>
    <row r="85" spans="1:208" ht="20.25" customHeight="1">
      <c r="A85" s="524" t="s">
        <v>197</v>
      </c>
      <c r="B85" s="524"/>
      <c r="C85" s="524"/>
      <c r="D85" s="524"/>
      <c r="E85" s="524"/>
      <c r="F85" s="524"/>
      <c r="G85" s="524"/>
      <c r="H85" s="524"/>
      <c r="I85" s="524"/>
      <c r="J85" s="524"/>
      <c r="K85" s="524"/>
      <c r="L85" s="524"/>
      <c r="M85" s="524"/>
      <c r="N85" s="524"/>
      <c r="O85" s="524"/>
      <c r="P85" s="524"/>
      <c r="Q85" s="524"/>
      <c r="R85" s="524"/>
      <c r="S85" s="524"/>
      <c r="T85" s="524"/>
      <c r="U85" s="524"/>
      <c r="V85" s="524"/>
      <c r="W85" s="524"/>
      <c r="X85" s="524"/>
      <c r="Y85" s="524"/>
      <c r="Z85" s="524"/>
    </row>
    <row r="86" spans="1:208" ht="20.25" customHeight="1">
      <c r="A86" s="524" t="s">
        <v>198</v>
      </c>
      <c r="B86" s="524"/>
      <c r="C86" s="524"/>
      <c r="D86" s="524"/>
      <c r="E86" s="524"/>
      <c r="F86" s="524"/>
      <c r="G86" s="524"/>
      <c r="H86" s="524"/>
      <c r="I86" s="524"/>
      <c r="J86" s="524"/>
      <c r="K86" s="524"/>
      <c r="L86" s="524"/>
      <c r="M86" s="524"/>
      <c r="N86" s="524"/>
      <c r="O86" s="524"/>
      <c r="P86" s="524"/>
      <c r="Q86" s="524"/>
      <c r="R86" s="524"/>
      <c r="S86" s="524"/>
      <c r="T86" s="524"/>
      <c r="U86" s="524"/>
      <c r="V86" s="524"/>
      <c r="W86" s="524"/>
      <c r="X86" s="524"/>
      <c r="Y86" s="524"/>
      <c r="Z86" s="524"/>
    </row>
    <row r="87" spans="1:208" ht="20.25" customHeight="1" thickBot="1">
      <c r="A87" s="523" t="str">
        <f>A3</f>
        <v>วันที่  30  เมษายน  2557</v>
      </c>
      <c r="B87" s="523"/>
      <c r="C87" s="523"/>
      <c r="D87" s="523"/>
      <c r="E87" s="523"/>
      <c r="F87" s="523"/>
      <c r="G87" s="523"/>
      <c r="H87" s="523"/>
      <c r="I87" s="523"/>
      <c r="J87" s="523"/>
      <c r="K87" s="523"/>
      <c r="L87" s="523"/>
      <c r="M87" s="523"/>
      <c r="N87" s="523"/>
      <c r="O87" s="523"/>
      <c r="P87" s="523"/>
      <c r="Q87" s="523"/>
      <c r="R87" s="523"/>
      <c r="S87" s="523"/>
      <c r="T87" s="523"/>
      <c r="U87" s="523"/>
      <c r="V87" s="523"/>
      <c r="W87" s="523"/>
      <c r="X87" s="523"/>
      <c r="Y87" s="523"/>
      <c r="Z87" s="523"/>
    </row>
    <row r="88" spans="1:208" ht="20.25" customHeight="1">
      <c r="A88" s="343" t="s">
        <v>199</v>
      </c>
      <c r="B88" s="526" t="s">
        <v>200</v>
      </c>
      <c r="C88" s="528"/>
      <c r="D88" s="526" t="s">
        <v>201</v>
      </c>
      <c r="E88" s="528"/>
      <c r="F88" s="526" t="s">
        <v>202</v>
      </c>
      <c r="G88" s="527"/>
      <c r="H88" s="528"/>
      <c r="I88" s="526" t="s">
        <v>203</v>
      </c>
      <c r="J88" s="528"/>
      <c r="K88" s="526" t="s">
        <v>204</v>
      </c>
      <c r="L88" s="528"/>
      <c r="M88" s="526" t="s">
        <v>205</v>
      </c>
      <c r="N88" s="527"/>
      <c r="O88" s="528"/>
      <c r="P88" s="526" t="s">
        <v>206</v>
      </c>
      <c r="Q88" s="528"/>
      <c r="R88" s="526" t="s">
        <v>207</v>
      </c>
      <c r="S88" s="527"/>
      <c r="T88" s="528"/>
      <c r="U88" s="127" t="s">
        <v>208</v>
      </c>
      <c r="V88" s="526" t="s">
        <v>209</v>
      </c>
      <c r="W88" s="528"/>
      <c r="X88" s="127" t="s">
        <v>210</v>
      </c>
      <c r="Y88" s="127" t="s">
        <v>211</v>
      </c>
      <c r="Z88" s="532" t="s">
        <v>54</v>
      </c>
    </row>
    <row r="89" spans="1:208" ht="20.25" customHeight="1" thickBot="1">
      <c r="A89" s="344" t="s">
        <v>212</v>
      </c>
      <c r="B89" s="129" t="s">
        <v>213</v>
      </c>
      <c r="C89" s="129" t="s">
        <v>214</v>
      </c>
      <c r="D89" s="129" t="s">
        <v>215</v>
      </c>
      <c r="E89" s="129" t="s">
        <v>216</v>
      </c>
      <c r="F89" s="129" t="s">
        <v>217</v>
      </c>
      <c r="G89" s="129" t="s">
        <v>218</v>
      </c>
      <c r="H89" s="129" t="s">
        <v>219</v>
      </c>
      <c r="I89" s="129" t="s">
        <v>220</v>
      </c>
      <c r="J89" s="129" t="s">
        <v>221</v>
      </c>
      <c r="K89" s="129" t="s">
        <v>222</v>
      </c>
      <c r="L89" s="129" t="s">
        <v>223</v>
      </c>
      <c r="M89" s="130" t="s">
        <v>224</v>
      </c>
      <c r="N89" s="129" t="s">
        <v>225</v>
      </c>
      <c r="O89" s="129" t="s">
        <v>226</v>
      </c>
      <c r="P89" s="129" t="s">
        <v>227</v>
      </c>
      <c r="Q89" s="129" t="s">
        <v>228</v>
      </c>
      <c r="R89" s="129" t="s">
        <v>229</v>
      </c>
      <c r="S89" s="129" t="s">
        <v>230</v>
      </c>
      <c r="T89" s="129" t="s">
        <v>231</v>
      </c>
      <c r="U89" s="129" t="s">
        <v>232</v>
      </c>
      <c r="V89" s="129" t="s">
        <v>233</v>
      </c>
      <c r="W89" s="129" t="s">
        <v>234</v>
      </c>
      <c r="X89" s="129" t="s">
        <v>235</v>
      </c>
      <c r="Y89" s="129" t="s">
        <v>236</v>
      </c>
      <c r="Z89" s="533"/>
    </row>
    <row r="90" spans="1:208" ht="20.25" customHeight="1">
      <c r="A90" s="347" t="s">
        <v>55</v>
      </c>
      <c r="B90" s="131">
        <v>90511.93</v>
      </c>
      <c r="C90" s="131">
        <v>718</v>
      </c>
      <c r="D90" s="131"/>
      <c r="E90" s="131">
        <v>508.25</v>
      </c>
      <c r="F90" s="131">
        <v>3141.27</v>
      </c>
      <c r="G90" s="131"/>
      <c r="H90" s="131"/>
      <c r="I90" s="131"/>
      <c r="J90" s="131"/>
      <c r="K90" s="131"/>
      <c r="L90" s="131"/>
      <c r="M90" s="131">
        <v>0</v>
      </c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>
        <v>306419.90999999997</v>
      </c>
      <c r="Y90" s="131">
        <v>0</v>
      </c>
      <c r="Z90" s="152">
        <f>SUM(B90:Y90)</f>
        <v>401299.36</v>
      </c>
    </row>
    <row r="91" spans="1:208" ht="20.25" customHeight="1">
      <c r="A91" s="346">
        <v>534000</v>
      </c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53">
        <f>SUM(B91:Y91)</f>
        <v>0</v>
      </c>
    </row>
    <row r="92" spans="1:208" ht="20.25" customHeight="1">
      <c r="A92" s="331" t="s">
        <v>337</v>
      </c>
      <c r="B92" s="134">
        <v>18402.88</v>
      </c>
      <c r="C92" s="134"/>
      <c r="D92" s="134"/>
      <c r="E92" s="134"/>
      <c r="F92" s="134">
        <v>482.53</v>
      </c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>
        <v>62168.93</v>
      </c>
      <c r="Y92" s="134"/>
      <c r="Z92" s="143">
        <f>SUM(B92:Y92)</f>
        <v>81054.34</v>
      </c>
    </row>
    <row r="93" spans="1:208" ht="20.25" customHeight="1">
      <c r="A93" s="333" t="s">
        <v>338</v>
      </c>
      <c r="B93" s="134">
        <v>345.4</v>
      </c>
      <c r="C93" s="134"/>
      <c r="D93" s="134"/>
      <c r="E93" s="134">
        <v>164.78</v>
      </c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43">
        <f>SUM(B93:Y93)</f>
        <v>510.17999999999995</v>
      </c>
    </row>
    <row r="94" spans="1:208" ht="20.25" customHeight="1">
      <c r="A94" s="333" t="s">
        <v>339</v>
      </c>
      <c r="B94" s="131">
        <v>0</v>
      </c>
      <c r="C94" s="131">
        <v>0</v>
      </c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4"/>
      <c r="Y94" s="134"/>
      <c r="Z94" s="143">
        <f>SUM(B94:Y94)</f>
        <v>0</v>
      </c>
    </row>
    <row r="95" spans="1:208" ht="20.25" customHeight="1">
      <c r="A95" s="333" t="s">
        <v>340</v>
      </c>
      <c r="B95" s="131">
        <v>19260</v>
      </c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6"/>
      <c r="Y95" s="136"/>
      <c r="Z95" s="154"/>
    </row>
    <row r="96" spans="1:208" ht="20.25" customHeight="1" thickBot="1">
      <c r="A96" s="338">
        <v>340800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7"/>
      <c r="Y96" s="137"/>
      <c r="Z96" s="155">
        <f>SUM(B96:Y96)</f>
        <v>0</v>
      </c>
    </row>
    <row r="97" spans="1:26" ht="20.25" customHeight="1">
      <c r="A97" s="343" t="s">
        <v>237</v>
      </c>
      <c r="B97" s="138">
        <f>SUM(B92:B96)</f>
        <v>38008.28</v>
      </c>
      <c r="C97" s="138">
        <f>SUM(C92:C94)</f>
        <v>0</v>
      </c>
      <c r="D97" s="138">
        <f>SUM(D92:D94)</f>
        <v>0</v>
      </c>
      <c r="E97" s="138">
        <f>SUM(E91:E96)</f>
        <v>164.78</v>
      </c>
      <c r="F97" s="138">
        <f t="shared" ref="F97:V97" si="22">SUM(F92:F94)</f>
        <v>482.53</v>
      </c>
      <c r="G97" s="138">
        <f t="shared" si="22"/>
        <v>0</v>
      </c>
      <c r="H97" s="138">
        <f t="shared" si="22"/>
        <v>0</v>
      </c>
      <c r="I97" s="138">
        <f t="shared" si="22"/>
        <v>0</v>
      </c>
      <c r="J97" s="138">
        <f t="shared" si="22"/>
        <v>0</v>
      </c>
      <c r="K97" s="138">
        <f t="shared" si="22"/>
        <v>0</v>
      </c>
      <c r="L97" s="138">
        <f t="shared" si="22"/>
        <v>0</v>
      </c>
      <c r="M97" s="138">
        <f t="shared" si="22"/>
        <v>0</v>
      </c>
      <c r="N97" s="138">
        <f t="shared" si="22"/>
        <v>0</v>
      </c>
      <c r="O97" s="138">
        <f t="shared" si="22"/>
        <v>0</v>
      </c>
      <c r="P97" s="138">
        <f t="shared" si="22"/>
        <v>0</v>
      </c>
      <c r="Q97" s="138">
        <f t="shared" si="22"/>
        <v>0</v>
      </c>
      <c r="R97" s="138">
        <f t="shared" si="22"/>
        <v>0</v>
      </c>
      <c r="S97" s="138">
        <f t="shared" si="22"/>
        <v>0</v>
      </c>
      <c r="T97" s="138">
        <f t="shared" si="22"/>
        <v>0</v>
      </c>
      <c r="U97" s="138">
        <f t="shared" si="22"/>
        <v>0</v>
      </c>
      <c r="V97" s="138">
        <f t="shared" si="22"/>
        <v>0</v>
      </c>
      <c r="W97" s="138"/>
      <c r="X97" s="138">
        <f>SUM(X92:X96)</f>
        <v>62168.93</v>
      </c>
      <c r="Y97" s="138"/>
      <c r="Z97" s="156">
        <f>SUM(B97:Y97)</f>
        <v>100824.51999999999</v>
      </c>
    </row>
    <row r="98" spans="1:26" ht="20.25" customHeight="1" thickBot="1">
      <c r="A98" s="344" t="s">
        <v>238</v>
      </c>
      <c r="B98" s="137">
        <f t="shared" ref="B98:Z98" si="23">B90+B97</f>
        <v>128520.20999999999</v>
      </c>
      <c r="C98" s="137">
        <f t="shared" si="23"/>
        <v>718</v>
      </c>
      <c r="D98" s="137">
        <f t="shared" si="23"/>
        <v>0</v>
      </c>
      <c r="E98" s="137">
        <f t="shared" si="23"/>
        <v>673.03</v>
      </c>
      <c r="F98" s="137">
        <f t="shared" si="23"/>
        <v>3623.8</v>
      </c>
      <c r="G98" s="137">
        <f t="shared" si="23"/>
        <v>0</v>
      </c>
      <c r="H98" s="137">
        <f t="shared" si="23"/>
        <v>0</v>
      </c>
      <c r="I98" s="137">
        <f t="shared" si="23"/>
        <v>0</v>
      </c>
      <c r="J98" s="137">
        <f t="shared" si="23"/>
        <v>0</v>
      </c>
      <c r="K98" s="137">
        <f t="shared" si="23"/>
        <v>0</v>
      </c>
      <c r="L98" s="137">
        <f t="shared" si="23"/>
        <v>0</v>
      </c>
      <c r="M98" s="137">
        <f t="shared" si="23"/>
        <v>0</v>
      </c>
      <c r="N98" s="137">
        <f t="shared" si="23"/>
        <v>0</v>
      </c>
      <c r="O98" s="137">
        <f t="shared" si="23"/>
        <v>0</v>
      </c>
      <c r="P98" s="137">
        <f t="shared" si="23"/>
        <v>0</v>
      </c>
      <c r="Q98" s="137">
        <f t="shared" si="23"/>
        <v>0</v>
      </c>
      <c r="R98" s="137">
        <f t="shared" si="23"/>
        <v>0</v>
      </c>
      <c r="S98" s="137">
        <f t="shared" si="23"/>
        <v>0</v>
      </c>
      <c r="T98" s="137">
        <f t="shared" si="23"/>
        <v>0</v>
      </c>
      <c r="U98" s="137">
        <f t="shared" si="23"/>
        <v>0</v>
      </c>
      <c r="V98" s="137">
        <f t="shared" si="23"/>
        <v>0</v>
      </c>
      <c r="W98" s="137">
        <f t="shared" si="23"/>
        <v>0</v>
      </c>
      <c r="X98" s="137">
        <f t="shared" si="23"/>
        <v>368588.83999999997</v>
      </c>
      <c r="Y98" s="137">
        <f t="shared" si="23"/>
        <v>0</v>
      </c>
      <c r="Z98" s="144">
        <f t="shared" si="23"/>
        <v>502123.88</v>
      </c>
    </row>
    <row r="99" spans="1:26" ht="20.25" customHeight="1">
      <c r="A99" s="353" t="s">
        <v>55</v>
      </c>
      <c r="B99" s="131">
        <v>73480.100000000006</v>
      </c>
      <c r="C99" s="131">
        <v>0</v>
      </c>
      <c r="D99" s="131">
        <v>18300</v>
      </c>
      <c r="E99" s="131">
        <v>31500</v>
      </c>
      <c r="F99" s="131"/>
      <c r="G99" s="131">
        <v>0</v>
      </c>
      <c r="H99" s="131"/>
      <c r="I99" s="131"/>
      <c r="J99" s="131"/>
      <c r="K99" s="131"/>
      <c r="L99" s="131"/>
      <c r="M99" s="131">
        <v>0</v>
      </c>
      <c r="N99" s="131"/>
      <c r="O99" s="131"/>
      <c r="P99" s="131"/>
      <c r="Q99" s="131"/>
      <c r="R99" s="131">
        <v>0</v>
      </c>
      <c r="S99" s="131">
        <v>0</v>
      </c>
      <c r="T99" s="131">
        <v>0</v>
      </c>
      <c r="U99" s="131">
        <v>0</v>
      </c>
      <c r="V99" s="131">
        <v>0</v>
      </c>
      <c r="W99" s="131">
        <v>0</v>
      </c>
      <c r="X99" s="131">
        <v>0</v>
      </c>
      <c r="Y99" s="131">
        <v>0</v>
      </c>
      <c r="Z99" s="153">
        <f t="shared" ref="Z99:Z106" si="24">SUM(B99:Y99)</f>
        <v>123280.1</v>
      </c>
    </row>
    <row r="100" spans="1:26" ht="20.25" customHeight="1">
      <c r="A100" s="346">
        <v>541000</v>
      </c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53">
        <f t="shared" si="24"/>
        <v>0</v>
      </c>
    </row>
    <row r="101" spans="1:26" ht="20.25" customHeight="1">
      <c r="A101" s="334" t="s">
        <v>343</v>
      </c>
      <c r="B101" s="134">
        <v>0</v>
      </c>
      <c r="C101" s="134">
        <v>0</v>
      </c>
      <c r="D101" s="134"/>
      <c r="E101" s="134"/>
      <c r="F101" s="134"/>
      <c r="G101" s="134">
        <v>0</v>
      </c>
      <c r="H101" s="134"/>
      <c r="I101" s="134"/>
      <c r="J101" s="134"/>
      <c r="K101" s="134"/>
      <c r="L101" s="134"/>
      <c r="M101" s="134">
        <v>0</v>
      </c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43">
        <f t="shared" si="24"/>
        <v>0</v>
      </c>
    </row>
    <row r="102" spans="1:26" ht="20.25" customHeight="1">
      <c r="A102" s="336" t="s">
        <v>344</v>
      </c>
      <c r="B102" s="131">
        <v>0</v>
      </c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>
        <v>0</v>
      </c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6"/>
      <c r="Y102" s="131"/>
      <c r="Z102" s="143">
        <f t="shared" si="24"/>
        <v>0</v>
      </c>
    </row>
    <row r="103" spans="1:26" ht="20.25" customHeight="1">
      <c r="A103" s="336" t="s">
        <v>345</v>
      </c>
      <c r="B103" s="131">
        <v>0</v>
      </c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6"/>
      <c r="Y103" s="131"/>
      <c r="Z103" s="143">
        <f t="shared" si="24"/>
        <v>0</v>
      </c>
    </row>
    <row r="104" spans="1:26" ht="20.25" customHeight="1">
      <c r="A104" s="336" t="s">
        <v>346</v>
      </c>
      <c r="B104" s="131">
        <v>0</v>
      </c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>
        <v>0</v>
      </c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6"/>
      <c r="Y104" s="131"/>
      <c r="Z104" s="143">
        <f t="shared" si="24"/>
        <v>0</v>
      </c>
    </row>
    <row r="105" spans="1:26" ht="20.25" customHeight="1">
      <c r="A105" s="336" t="s">
        <v>347</v>
      </c>
      <c r="B105" s="131">
        <v>0</v>
      </c>
      <c r="C105" s="131">
        <v>0</v>
      </c>
      <c r="D105" s="131">
        <v>0</v>
      </c>
      <c r="E105" s="131"/>
      <c r="F105" s="131"/>
      <c r="G105" s="131"/>
      <c r="H105" s="131"/>
      <c r="I105" s="131"/>
      <c r="J105" s="131"/>
      <c r="K105" s="131"/>
      <c r="L105" s="131"/>
      <c r="M105" s="131">
        <v>0</v>
      </c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4"/>
      <c r="Y105" s="134"/>
      <c r="Z105" s="143">
        <f t="shared" si="24"/>
        <v>0</v>
      </c>
    </row>
    <row r="106" spans="1:26" ht="20.25" customHeight="1" thickBot="1">
      <c r="A106" s="337" t="s">
        <v>348</v>
      </c>
      <c r="B106" s="131">
        <v>0</v>
      </c>
      <c r="C106" s="131"/>
      <c r="D106" s="131">
        <v>0</v>
      </c>
      <c r="E106" s="131">
        <v>0</v>
      </c>
      <c r="F106" s="131"/>
      <c r="G106" s="131"/>
      <c r="H106" s="131"/>
      <c r="I106" s="131"/>
      <c r="J106" s="131"/>
      <c r="K106" s="131"/>
      <c r="L106" s="131"/>
      <c r="M106" s="131">
        <v>0</v>
      </c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7"/>
      <c r="Y106" s="137"/>
      <c r="Z106" s="143">
        <f t="shared" si="24"/>
        <v>0</v>
      </c>
    </row>
    <row r="107" spans="1:26" ht="20.25" customHeight="1">
      <c r="A107" s="343" t="s">
        <v>237</v>
      </c>
      <c r="B107" s="138">
        <f t="shared" ref="B107:Z107" si="25">SUM(B100:B106)</f>
        <v>0</v>
      </c>
      <c r="C107" s="138">
        <f t="shared" si="25"/>
        <v>0</v>
      </c>
      <c r="D107" s="138">
        <f t="shared" si="25"/>
        <v>0</v>
      </c>
      <c r="E107" s="138">
        <f t="shared" si="25"/>
        <v>0</v>
      </c>
      <c r="F107" s="138">
        <f t="shared" si="25"/>
        <v>0</v>
      </c>
      <c r="G107" s="138">
        <f t="shared" si="25"/>
        <v>0</v>
      </c>
      <c r="H107" s="138">
        <f t="shared" si="25"/>
        <v>0</v>
      </c>
      <c r="I107" s="138">
        <f t="shared" si="25"/>
        <v>0</v>
      </c>
      <c r="J107" s="138">
        <f t="shared" si="25"/>
        <v>0</v>
      </c>
      <c r="K107" s="138">
        <f t="shared" si="25"/>
        <v>0</v>
      </c>
      <c r="L107" s="138">
        <f t="shared" si="25"/>
        <v>0</v>
      </c>
      <c r="M107" s="138">
        <f t="shared" si="25"/>
        <v>0</v>
      </c>
      <c r="N107" s="138">
        <f t="shared" si="25"/>
        <v>0</v>
      </c>
      <c r="O107" s="138">
        <f t="shared" si="25"/>
        <v>0</v>
      </c>
      <c r="P107" s="138">
        <f t="shared" si="25"/>
        <v>0</v>
      </c>
      <c r="Q107" s="138">
        <f t="shared" si="25"/>
        <v>0</v>
      </c>
      <c r="R107" s="138">
        <f t="shared" si="25"/>
        <v>0</v>
      </c>
      <c r="S107" s="138">
        <f t="shared" si="25"/>
        <v>0</v>
      </c>
      <c r="T107" s="138">
        <f t="shared" si="25"/>
        <v>0</v>
      </c>
      <c r="U107" s="138">
        <f t="shared" si="25"/>
        <v>0</v>
      </c>
      <c r="V107" s="138">
        <f t="shared" si="25"/>
        <v>0</v>
      </c>
      <c r="W107" s="138">
        <f t="shared" si="25"/>
        <v>0</v>
      </c>
      <c r="X107" s="138">
        <f t="shared" si="25"/>
        <v>0</v>
      </c>
      <c r="Y107" s="138">
        <f t="shared" si="25"/>
        <v>0</v>
      </c>
      <c r="Z107" s="140">
        <f t="shared" si="25"/>
        <v>0</v>
      </c>
    </row>
    <row r="108" spans="1:26" ht="20.25" customHeight="1" thickBot="1">
      <c r="A108" s="344" t="s">
        <v>238</v>
      </c>
      <c r="B108" s="137">
        <f t="shared" ref="B108:Z108" si="26">B99+B107</f>
        <v>73480.100000000006</v>
      </c>
      <c r="C108" s="137">
        <f t="shared" si="26"/>
        <v>0</v>
      </c>
      <c r="D108" s="137">
        <f t="shared" si="26"/>
        <v>18300</v>
      </c>
      <c r="E108" s="137">
        <f t="shared" si="26"/>
        <v>31500</v>
      </c>
      <c r="F108" s="137">
        <f t="shared" si="26"/>
        <v>0</v>
      </c>
      <c r="G108" s="137">
        <f t="shared" si="26"/>
        <v>0</v>
      </c>
      <c r="H108" s="137">
        <f t="shared" si="26"/>
        <v>0</v>
      </c>
      <c r="I108" s="137">
        <f t="shared" si="26"/>
        <v>0</v>
      </c>
      <c r="J108" s="137">
        <f t="shared" si="26"/>
        <v>0</v>
      </c>
      <c r="K108" s="137">
        <f t="shared" si="26"/>
        <v>0</v>
      </c>
      <c r="L108" s="137">
        <f t="shared" si="26"/>
        <v>0</v>
      </c>
      <c r="M108" s="137">
        <f t="shared" si="26"/>
        <v>0</v>
      </c>
      <c r="N108" s="137">
        <f t="shared" si="26"/>
        <v>0</v>
      </c>
      <c r="O108" s="137">
        <f t="shared" si="26"/>
        <v>0</v>
      </c>
      <c r="P108" s="137">
        <f t="shared" si="26"/>
        <v>0</v>
      </c>
      <c r="Q108" s="137">
        <f t="shared" si="26"/>
        <v>0</v>
      </c>
      <c r="R108" s="137">
        <f t="shared" si="26"/>
        <v>0</v>
      </c>
      <c r="S108" s="137">
        <f t="shared" si="26"/>
        <v>0</v>
      </c>
      <c r="T108" s="137">
        <f t="shared" si="26"/>
        <v>0</v>
      </c>
      <c r="U108" s="137">
        <f t="shared" si="26"/>
        <v>0</v>
      </c>
      <c r="V108" s="137">
        <f t="shared" si="26"/>
        <v>0</v>
      </c>
      <c r="W108" s="137">
        <f t="shared" si="26"/>
        <v>0</v>
      </c>
      <c r="X108" s="137">
        <f t="shared" si="26"/>
        <v>0</v>
      </c>
      <c r="Y108" s="137">
        <f t="shared" si="26"/>
        <v>0</v>
      </c>
      <c r="Z108" s="144">
        <f t="shared" si="26"/>
        <v>123280.1</v>
      </c>
    </row>
    <row r="109" spans="1:26" ht="20.25" customHeight="1" thickBot="1">
      <c r="A109" s="353" t="s">
        <v>55</v>
      </c>
      <c r="B109" s="131"/>
      <c r="C109" s="131"/>
      <c r="D109" s="131"/>
      <c r="E109" s="131"/>
      <c r="F109" s="131">
        <v>35000</v>
      </c>
      <c r="G109" s="131"/>
      <c r="H109" s="131"/>
      <c r="I109" s="131"/>
      <c r="J109" s="131"/>
      <c r="K109" s="131"/>
      <c r="L109" s="131"/>
      <c r="M109" s="131">
        <v>344800</v>
      </c>
      <c r="N109" s="131"/>
      <c r="O109" s="131"/>
      <c r="P109" s="131"/>
      <c r="Q109" s="131"/>
      <c r="R109" s="131">
        <v>0</v>
      </c>
      <c r="S109" s="131">
        <v>0</v>
      </c>
      <c r="T109" s="131">
        <v>0</v>
      </c>
      <c r="U109" s="131">
        <v>0</v>
      </c>
      <c r="V109" s="131">
        <v>0</v>
      </c>
      <c r="W109" s="131">
        <v>0</v>
      </c>
      <c r="X109" s="147">
        <v>0</v>
      </c>
      <c r="Y109" s="131">
        <v>0</v>
      </c>
      <c r="Z109" s="144">
        <f>SUM(B109:Y109)</f>
        <v>379800</v>
      </c>
    </row>
    <row r="110" spans="1:26" ht="20.25" customHeight="1">
      <c r="A110" s="346">
        <v>542000</v>
      </c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43">
        <f t="shared" ref="Z110:Z114" si="27">SUM(B110:Y110)</f>
        <v>0</v>
      </c>
    </row>
    <row r="111" spans="1:26" ht="20.25" customHeight="1">
      <c r="A111" s="339">
        <v>420600</v>
      </c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43">
        <f t="shared" si="27"/>
        <v>0</v>
      </c>
    </row>
    <row r="112" spans="1:26" ht="20.25" customHeight="1">
      <c r="A112" s="333" t="s">
        <v>350</v>
      </c>
      <c r="B112" s="134"/>
      <c r="C112" s="134"/>
      <c r="D112" s="134"/>
      <c r="E112" s="134"/>
      <c r="F112" s="134">
        <v>0</v>
      </c>
      <c r="G112" s="134"/>
      <c r="H112" s="134"/>
      <c r="I112" s="134"/>
      <c r="J112" s="134"/>
      <c r="K112" s="134"/>
      <c r="L112" s="134"/>
      <c r="M112" s="134">
        <v>0</v>
      </c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43">
        <f t="shared" si="27"/>
        <v>0</v>
      </c>
    </row>
    <row r="113" spans="1:26" ht="20.25" customHeight="1" thickBot="1">
      <c r="A113" s="340" t="s">
        <v>118</v>
      </c>
      <c r="B113" s="131"/>
      <c r="C113" s="131"/>
      <c r="D113" s="131"/>
      <c r="E113" s="131"/>
      <c r="F113" s="131">
        <v>0</v>
      </c>
      <c r="G113" s="131"/>
      <c r="H113" s="131"/>
      <c r="I113" s="131"/>
      <c r="J113" s="131"/>
      <c r="K113" s="131"/>
      <c r="L113" s="131"/>
      <c r="M113" s="131">
        <v>0</v>
      </c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6"/>
      <c r="Y113" s="131"/>
      <c r="Z113" s="143">
        <f t="shared" si="27"/>
        <v>0</v>
      </c>
    </row>
    <row r="114" spans="1:26" ht="20.25" customHeight="1">
      <c r="A114" s="343" t="s">
        <v>237</v>
      </c>
      <c r="B114" s="138">
        <f t="shared" ref="B114:Y114" si="28">SUM(B111:B113)</f>
        <v>0</v>
      </c>
      <c r="C114" s="138">
        <f t="shared" si="28"/>
        <v>0</v>
      </c>
      <c r="D114" s="138">
        <f t="shared" si="28"/>
        <v>0</v>
      </c>
      <c r="E114" s="138">
        <f t="shared" si="28"/>
        <v>0</v>
      </c>
      <c r="F114" s="138">
        <f t="shared" si="28"/>
        <v>0</v>
      </c>
      <c r="G114" s="138">
        <f t="shared" si="28"/>
        <v>0</v>
      </c>
      <c r="H114" s="138">
        <f t="shared" si="28"/>
        <v>0</v>
      </c>
      <c r="I114" s="138">
        <f t="shared" si="28"/>
        <v>0</v>
      </c>
      <c r="J114" s="138">
        <f t="shared" si="28"/>
        <v>0</v>
      </c>
      <c r="K114" s="138">
        <f t="shared" si="28"/>
        <v>0</v>
      </c>
      <c r="L114" s="138">
        <f t="shared" si="28"/>
        <v>0</v>
      </c>
      <c r="M114" s="138">
        <f t="shared" si="28"/>
        <v>0</v>
      </c>
      <c r="N114" s="138">
        <f t="shared" si="28"/>
        <v>0</v>
      </c>
      <c r="O114" s="138">
        <f t="shared" si="28"/>
        <v>0</v>
      </c>
      <c r="P114" s="138">
        <f t="shared" si="28"/>
        <v>0</v>
      </c>
      <c r="Q114" s="138">
        <f t="shared" si="28"/>
        <v>0</v>
      </c>
      <c r="R114" s="138">
        <f t="shared" si="28"/>
        <v>0</v>
      </c>
      <c r="S114" s="138">
        <f t="shared" si="28"/>
        <v>0</v>
      </c>
      <c r="T114" s="138">
        <f t="shared" si="28"/>
        <v>0</v>
      </c>
      <c r="U114" s="138">
        <f t="shared" si="28"/>
        <v>0</v>
      </c>
      <c r="V114" s="138">
        <f t="shared" si="28"/>
        <v>0</v>
      </c>
      <c r="W114" s="138">
        <f t="shared" si="28"/>
        <v>0</v>
      </c>
      <c r="X114" s="138">
        <f t="shared" si="28"/>
        <v>0</v>
      </c>
      <c r="Y114" s="138">
        <f t="shared" si="28"/>
        <v>0</v>
      </c>
      <c r="Z114" s="156">
        <f t="shared" si="27"/>
        <v>0</v>
      </c>
    </row>
    <row r="115" spans="1:26" ht="20.25" customHeight="1" thickBot="1">
      <c r="A115" s="344" t="s">
        <v>238</v>
      </c>
      <c r="B115" s="137">
        <f t="shared" ref="B115:Z115" si="29">B109+B114</f>
        <v>0</v>
      </c>
      <c r="C115" s="137">
        <f t="shared" si="29"/>
        <v>0</v>
      </c>
      <c r="D115" s="137">
        <f t="shared" si="29"/>
        <v>0</v>
      </c>
      <c r="E115" s="137">
        <f t="shared" si="29"/>
        <v>0</v>
      </c>
      <c r="F115" s="137">
        <f t="shared" si="29"/>
        <v>35000</v>
      </c>
      <c r="G115" s="137">
        <f t="shared" si="29"/>
        <v>0</v>
      </c>
      <c r="H115" s="137">
        <f t="shared" si="29"/>
        <v>0</v>
      </c>
      <c r="I115" s="137">
        <f t="shared" si="29"/>
        <v>0</v>
      </c>
      <c r="J115" s="137">
        <f t="shared" si="29"/>
        <v>0</v>
      </c>
      <c r="K115" s="137">
        <f t="shared" si="29"/>
        <v>0</v>
      </c>
      <c r="L115" s="137">
        <f t="shared" si="29"/>
        <v>0</v>
      </c>
      <c r="M115" s="137">
        <f t="shared" si="29"/>
        <v>344800</v>
      </c>
      <c r="N115" s="137">
        <f t="shared" si="29"/>
        <v>0</v>
      </c>
      <c r="O115" s="137">
        <f t="shared" si="29"/>
        <v>0</v>
      </c>
      <c r="P115" s="137">
        <f t="shared" si="29"/>
        <v>0</v>
      </c>
      <c r="Q115" s="137">
        <f t="shared" si="29"/>
        <v>0</v>
      </c>
      <c r="R115" s="137">
        <f t="shared" si="29"/>
        <v>0</v>
      </c>
      <c r="S115" s="137">
        <f t="shared" si="29"/>
        <v>0</v>
      </c>
      <c r="T115" s="137">
        <f t="shared" si="29"/>
        <v>0</v>
      </c>
      <c r="U115" s="137">
        <f t="shared" si="29"/>
        <v>0</v>
      </c>
      <c r="V115" s="137">
        <f t="shared" si="29"/>
        <v>0</v>
      </c>
      <c r="W115" s="137">
        <f t="shared" si="29"/>
        <v>0</v>
      </c>
      <c r="X115" s="137">
        <f t="shared" si="29"/>
        <v>0</v>
      </c>
      <c r="Y115" s="137">
        <f t="shared" si="29"/>
        <v>0</v>
      </c>
      <c r="Z115" s="144">
        <f t="shared" si="29"/>
        <v>379800</v>
      </c>
    </row>
    <row r="127" spans="1:26" ht="20.25" customHeight="1">
      <c r="A127" s="524" t="s">
        <v>197</v>
      </c>
      <c r="B127" s="524"/>
      <c r="C127" s="524"/>
      <c r="D127" s="524"/>
      <c r="E127" s="524"/>
      <c r="F127" s="524"/>
      <c r="G127" s="524"/>
      <c r="H127" s="524"/>
      <c r="I127" s="524"/>
      <c r="J127" s="524"/>
      <c r="K127" s="524"/>
      <c r="L127" s="524"/>
      <c r="M127" s="524"/>
      <c r="N127" s="524"/>
      <c r="O127" s="524"/>
      <c r="P127" s="524"/>
      <c r="Q127" s="524"/>
      <c r="R127" s="524"/>
      <c r="S127" s="524"/>
      <c r="T127" s="524"/>
      <c r="U127" s="524"/>
      <c r="V127" s="524"/>
      <c r="W127" s="524"/>
      <c r="X127" s="524"/>
      <c r="Y127" s="524"/>
      <c r="Z127" s="524"/>
    </row>
    <row r="128" spans="1:26" ht="20.25" customHeight="1">
      <c r="A128" s="524" t="s">
        <v>198</v>
      </c>
      <c r="B128" s="524"/>
      <c r="C128" s="524"/>
      <c r="D128" s="524"/>
      <c r="E128" s="524"/>
      <c r="F128" s="524"/>
      <c r="G128" s="524"/>
      <c r="H128" s="524"/>
      <c r="I128" s="524"/>
      <c r="J128" s="524"/>
      <c r="K128" s="524"/>
      <c r="L128" s="524"/>
      <c r="M128" s="524"/>
      <c r="N128" s="524"/>
      <c r="O128" s="524"/>
      <c r="P128" s="524"/>
      <c r="Q128" s="524"/>
      <c r="R128" s="524"/>
      <c r="S128" s="524"/>
      <c r="T128" s="524"/>
      <c r="U128" s="524"/>
      <c r="V128" s="524"/>
      <c r="W128" s="524"/>
      <c r="X128" s="524"/>
      <c r="Y128" s="524"/>
      <c r="Z128" s="524"/>
    </row>
    <row r="129" spans="1:26" ht="20.25" customHeight="1" thickBot="1">
      <c r="A129" s="523" t="str">
        <f>A3</f>
        <v>วันที่  30  เมษายน  2557</v>
      </c>
      <c r="B129" s="523"/>
      <c r="C129" s="523"/>
      <c r="D129" s="523"/>
      <c r="E129" s="523"/>
      <c r="F129" s="523"/>
      <c r="G129" s="523"/>
      <c r="H129" s="523"/>
      <c r="I129" s="523"/>
      <c r="J129" s="523"/>
      <c r="K129" s="523"/>
      <c r="L129" s="523"/>
      <c r="M129" s="523"/>
      <c r="N129" s="523"/>
      <c r="O129" s="523"/>
      <c r="P129" s="523"/>
      <c r="Q129" s="523"/>
      <c r="R129" s="523"/>
      <c r="S129" s="523"/>
      <c r="T129" s="523"/>
      <c r="U129" s="523"/>
      <c r="V129" s="523"/>
      <c r="W129" s="523"/>
      <c r="X129" s="523"/>
      <c r="Y129" s="523"/>
      <c r="Z129" s="523"/>
    </row>
    <row r="130" spans="1:26" ht="20.25" customHeight="1">
      <c r="A130" s="343" t="s">
        <v>199</v>
      </c>
      <c r="B130" s="525" t="s">
        <v>200</v>
      </c>
      <c r="C130" s="525"/>
      <c r="D130" s="525" t="s">
        <v>201</v>
      </c>
      <c r="E130" s="525"/>
      <c r="F130" s="525" t="s">
        <v>202</v>
      </c>
      <c r="G130" s="525"/>
      <c r="H130" s="525"/>
      <c r="I130" s="525" t="s">
        <v>203</v>
      </c>
      <c r="J130" s="525"/>
      <c r="K130" s="525" t="s">
        <v>204</v>
      </c>
      <c r="L130" s="525"/>
      <c r="M130" s="526" t="s">
        <v>205</v>
      </c>
      <c r="N130" s="527"/>
      <c r="O130" s="528"/>
      <c r="P130" s="525" t="s">
        <v>206</v>
      </c>
      <c r="Q130" s="525"/>
      <c r="R130" s="525" t="s">
        <v>207</v>
      </c>
      <c r="S130" s="525"/>
      <c r="T130" s="525"/>
      <c r="U130" s="127" t="s">
        <v>208</v>
      </c>
      <c r="V130" s="525" t="s">
        <v>209</v>
      </c>
      <c r="W130" s="525"/>
      <c r="X130" s="127" t="s">
        <v>210</v>
      </c>
      <c r="Y130" s="127" t="s">
        <v>211</v>
      </c>
      <c r="Z130" s="529" t="s">
        <v>54</v>
      </c>
    </row>
    <row r="131" spans="1:26" ht="20.25" customHeight="1" thickBot="1">
      <c r="A131" s="344" t="s">
        <v>212</v>
      </c>
      <c r="B131" s="129" t="s">
        <v>213</v>
      </c>
      <c r="C131" s="129" t="s">
        <v>214</v>
      </c>
      <c r="D131" s="129" t="s">
        <v>215</v>
      </c>
      <c r="E131" s="129" t="s">
        <v>216</v>
      </c>
      <c r="F131" s="129" t="s">
        <v>217</v>
      </c>
      <c r="G131" s="129" t="s">
        <v>218</v>
      </c>
      <c r="H131" s="129" t="s">
        <v>219</v>
      </c>
      <c r="I131" s="129" t="s">
        <v>220</v>
      </c>
      <c r="J131" s="129" t="s">
        <v>221</v>
      </c>
      <c r="K131" s="129" t="s">
        <v>222</v>
      </c>
      <c r="L131" s="129" t="s">
        <v>223</v>
      </c>
      <c r="M131" s="130" t="s">
        <v>224</v>
      </c>
      <c r="N131" s="129" t="s">
        <v>225</v>
      </c>
      <c r="O131" s="129" t="s">
        <v>226</v>
      </c>
      <c r="P131" s="129" t="s">
        <v>227</v>
      </c>
      <c r="Q131" s="129" t="s">
        <v>228</v>
      </c>
      <c r="R131" s="129" t="s">
        <v>229</v>
      </c>
      <c r="S131" s="129" t="s">
        <v>230</v>
      </c>
      <c r="T131" s="129" t="s">
        <v>231</v>
      </c>
      <c r="U131" s="129" t="s">
        <v>232</v>
      </c>
      <c r="V131" s="129" t="s">
        <v>233</v>
      </c>
      <c r="W131" s="129" t="s">
        <v>234</v>
      </c>
      <c r="X131" s="129" t="s">
        <v>235</v>
      </c>
      <c r="Y131" s="129" t="s">
        <v>236</v>
      </c>
      <c r="Z131" s="530"/>
    </row>
    <row r="132" spans="1:26" ht="20.25" customHeight="1">
      <c r="A132" s="349" t="s">
        <v>239</v>
      </c>
      <c r="B132" s="138"/>
      <c r="C132" s="138">
        <v>0</v>
      </c>
      <c r="D132" s="138">
        <v>0</v>
      </c>
      <c r="E132" s="138">
        <v>0</v>
      </c>
      <c r="F132" s="138">
        <v>0</v>
      </c>
      <c r="G132" s="138"/>
      <c r="H132" s="138">
        <v>0</v>
      </c>
      <c r="I132" s="138">
        <v>0</v>
      </c>
      <c r="J132" s="138">
        <v>0</v>
      </c>
      <c r="K132" s="138">
        <v>0</v>
      </c>
      <c r="L132" s="138">
        <v>0</v>
      </c>
      <c r="M132" s="138">
        <v>0</v>
      </c>
      <c r="N132" s="138">
        <v>0</v>
      </c>
      <c r="O132" s="138">
        <v>0</v>
      </c>
      <c r="P132" s="138">
        <v>0</v>
      </c>
      <c r="Q132" s="138">
        <v>0</v>
      </c>
      <c r="R132" s="138">
        <v>0</v>
      </c>
      <c r="S132" s="138">
        <v>0</v>
      </c>
      <c r="T132" s="138">
        <v>0</v>
      </c>
      <c r="U132" s="138">
        <v>0</v>
      </c>
      <c r="V132" s="138">
        <v>0</v>
      </c>
      <c r="W132" s="138">
        <v>0</v>
      </c>
      <c r="X132" s="138">
        <v>0</v>
      </c>
      <c r="Y132" s="138">
        <v>0</v>
      </c>
      <c r="Z132" s="133">
        <f>SUM(B132:Y132)</f>
        <v>0</v>
      </c>
    </row>
    <row r="133" spans="1:26" ht="20.25" customHeight="1">
      <c r="A133" s="350">
        <v>551000</v>
      </c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43">
        <f>SUM(B133:Y133)</f>
        <v>0</v>
      </c>
    </row>
    <row r="134" spans="1:26" ht="20.25" customHeight="1">
      <c r="A134" s="339">
        <v>510100</v>
      </c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43">
        <f>SUM(B134:Y134)</f>
        <v>0</v>
      </c>
    </row>
    <row r="135" spans="1:26" ht="20.25" customHeight="1">
      <c r="A135" s="339">
        <v>510200</v>
      </c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43">
        <f>SUM(B135:Y135)</f>
        <v>0</v>
      </c>
    </row>
    <row r="136" spans="1:26" ht="20.25" customHeight="1">
      <c r="A136" s="351"/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53"/>
    </row>
    <row r="137" spans="1:26" ht="20.25" customHeight="1" thickBot="1">
      <c r="A137" s="344"/>
      <c r="B137" s="137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44">
        <f>SUM(B137:Y137)</f>
        <v>0</v>
      </c>
    </row>
    <row r="138" spans="1:26" ht="20.25" customHeight="1">
      <c r="A138" s="343" t="s">
        <v>237</v>
      </c>
      <c r="B138" s="160">
        <f>SUM(B133:B137)</f>
        <v>0</v>
      </c>
      <c r="C138" s="160">
        <f t="shared" ref="C138:I138" si="30">SUM(C137)</f>
        <v>0</v>
      </c>
      <c r="D138" s="160">
        <f t="shared" si="30"/>
        <v>0</v>
      </c>
      <c r="E138" s="160">
        <f t="shared" si="30"/>
        <v>0</v>
      </c>
      <c r="F138" s="160">
        <f t="shared" si="30"/>
        <v>0</v>
      </c>
      <c r="G138" s="160">
        <f t="shared" si="30"/>
        <v>0</v>
      </c>
      <c r="H138" s="160">
        <f t="shared" si="30"/>
        <v>0</v>
      </c>
      <c r="I138" s="160">
        <f t="shared" si="30"/>
        <v>0</v>
      </c>
      <c r="J138" s="160">
        <f>SUM(J134:J137)</f>
        <v>0</v>
      </c>
      <c r="K138" s="160">
        <f>SUM(K137)</f>
        <v>0</v>
      </c>
      <c r="L138" s="160">
        <f>SUM(L137)</f>
        <v>0</v>
      </c>
      <c r="M138" s="160">
        <f>SUM(M137)</f>
        <v>0</v>
      </c>
      <c r="N138" s="160">
        <f>SUM(N133:N137)</f>
        <v>0</v>
      </c>
      <c r="O138" s="160">
        <f t="shared" ref="O138:Y138" si="31">SUM(O137)</f>
        <v>0</v>
      </c>
      <c r="P138" s="160">
        <f t="shared" si="31"/>
        <v>0</v>
      </c>
      <c r="Q138" s="160">
        <f t="shared" si="31"/>
        <v>0</v>
      </c>
      <c r="R138" s="160">
        <f t="shared" si="31"/>
        <v>0</v>
      </c>
      <c r="S138" s="160">
        <f t="shared" si="31"/>
        <v>0</v>
      </c>
      <c r="T138" s="160">
        <f t="shared" si="31"/>
        <v>0</v>
      </c>
      <c r="U138" s="160">
        <f t="shared" si="31"/>
        <v>0</v>
      </c>
      <c r="V138" s="160">
        <f t="shared" si="31"/>
        <v>0</v>
      </c>
      <c r="W138" s="160">
        <f t="shared" si="31"/>
        <v>0</v>
      </c>
      <c r="X138" s="160">
        <f t="shared" si="31"/>
        <v>0</v>
      </c>
      <c r="Y138" s="160">
        <f t="shared" si="31"/>
        <v>0</v>
      </c>
      <c r="Z138" s="140">
        <f>SUM(B138:Y138)</f>
        <v>0</v>
      </c>
    </row>
    <row r="139" spans="1:26" ht="20.25" customHeight="1" thickBot="1">
      <c r="A139" s="344" t="s">
        <v>238</v>
      </c>
      <c r="B139" s="161">
        <f t="shared" ref="B139:Z139" si="32">B132+B138</f>
        <v>0</v>
      </c>
      <c r="C139" s="161">
        <f t="shared" si="32"/>
        <v>0</v>
      </c>
      <c r="D139" s="161">
        <f t="shared" si="32"/>
        <v>0</v>
      </c>
      <c r="E139" s="161">
        <f t="shared" si="32"/>
        <v>0</v>
      </c>
      <c r="F139" s="161">
        <f t="shared" si="32"/>
        <v>0</v>
      </c>
      <c r="G139" s="161">
        <f t="shared" si="32"/>
        <v>0</v>
      </c>
      <c r="H139" s="161">
        <f t="shared" si="32"/>
        <v>0</v>
      </c>
      <c r="I139" s="161">
        <f t="shared" si="32"/>
        <v>0</v>
      </c>
      <c r="J139" s="161">
        <f t="shared" si="32"/>
        <v>0</v>
      </c>
      <c r="K139" s="161">
        <f t="shared" si="32"/>
        <v>0</v>
      </c>
      <c r="L139" s="161">
        <f t="shared" si="32"/>
        <v>0</v>
      </c>
      <c r="M139" s="161">
        <f t="shared" si="32"/>
        <v>0</v>
      </c>
      <c r="N139" s="161">
        <f t="shared" si="32"/>
        <v>0</v>
      </c>
      <c r="O139" s="161">
        <f t="shared" si="32"/>
        <v>0</v>
      </c>
      <c r="P139" s="161">
        <f t="shared" si="32"/>
        <v>0</v>
      </c>
      <c r="Q139" s="161">
        <f t="shared" si="32"/>
        <v>0</v>
      </c>
      <c r="R139" s="161">
        <f t="shared" si="32"/>
        <v>0</v>
      </c>
      <c r="S139" s="161">
        <f t="shared" si="32"/>
        <v>0</v>
      </c>
      <c r="T139" s="161">
        <f t="shared" si="32"/>
        <v>0</v>
      </c>
      <c r="U139" s="161">
        <f t="shared" si="32"/>
        <v>0</v>
      </c>
      <c r="V139" s="161">
        <f t="shared" si="32"/>
        <v>0</v>
      </c>
      <c r="W139" s="161">
        <f t="shared" si="32"/>
        <v>0</v>
      </c>
      <c r="X139" s="161">
        <f t="shared" si="32"/>
        <v>0</v>
      </c>
      <c r="Y139" s="161">
        <f t="shared" si="32"/>
        <v>0</v>
      </c>
      <c r="Z139" s="144">
        <f t="shared" si="32"/>
        <v>0</v>
      </c>
    </row>
    <row r="140" spans="1:26" ht="20.25" customHeight="1">
      <c r="A140" s="349" t="s">
        <v>239</v>
      </c>
      <c r="B140" s="138"/>
      <c r="C140" s="138">
        <v>0</v>
      </c>
      <c r="D140" s="138">
        <v>0</v>
      </c>
      <c r="E140" s="138">
        <v>0</v>
      </c>
      <c r="F140" s="138">
        <v>0</v>
      </c>
      <c r="G140" s="138">
        <v>1316000</v>
      </c>
      <c r="H140" s="138"/>
      <c r="I140" s="138">
        <v>70000</v>
      </c>
      <c r="J140" s="138"/>
      <c r="K140" s="138">
        <v>0</v>
      </c>
      <c r="L140" s="138">
        <v>0</v>
      </c>
      <c r="M140" s="138">
        <v>0</v>
      </c>
      <c r="N140" s="138">
        <v>0</v>
      </c>
      <c r="O140" s="138">
        <v>0</v>
      </c>
      <c r="P140" s="138">
        <v>0</v>
      </c>
      <c r="Q140" s="138">
        <v>0</v>
      </c>
      <c r="R140" s="138">
        <v>0</v>
      </c>
      <c r="S140" s="138">
        <v>0</v>
      </c>
      <c r="T140" s="138">
        <v>0</v>
      </c>
      <c r="U140" s="138">
        <v>0</v>
      </c>
      <c r="V140" s="138">
        <v>0</v>
      </c>
      <c r="W140" s="138">
        <v>0</v>
      </c>
      <c r="X140" s="138">
        <v>0</v>
      </c>
      <c r="Y140" s="138">
        <v>0</v>
      </c>
      <c r="Z140" s="162">
        <f>SUM(B140:Y140)</f>
        <v>1386000</v>
      </c>
    </row>
    <row r="141" spans="1:26" ht="20.25" customHeight="1">
      <c r="A141" s="350">
        <v>560000</v>
      </c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63"/>
      <c r="Z141" s="143">
        <f>SUM(B141:Y141)</f>
        <v>0</v>
      </c>
    </row>
    <row r="142" spans="1:26" ht="20.25" customHeight="1">
      <c r="A142" s="352">
        <v>610100</v>
      </c>
      <c r="B142" s="136">
        <v>0</v>
      </c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3">
        <f>SUM(B142:Y142)</f>
        <v>0</v>
      </c>
    </row>
    <row r="143" spans="1:26" ht="20.25" customHeight="1">
      <c r="A143" s="164">
        <v>610200</v>
      </c>
      <c r="B143" s="136"/>
      <c r="C143" s="136"/>
      <c r="D143" s="136"/>
      <c r="E143" s="136"/>
      <c r="F143" s="136"/>
      <c r="G143" s="136">
        <v>0</v>
      </c>
      <c r="H143" s="136">
        <v>0</v>
      </c>
      <c r="I143" s="136">
        <v>0</v>
      </c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3">
        <f>SUM(B143:Y143)</f>
        <v>0</v>
      </c>
    </row>
    <row r="144" spans="1:26" ht="20.25" customHeight="1" thickBot="1">
      <c r="A144" s="164">
        <v>610400</v>
      </c>
      <c r="B144" s="136"/>
      <c r="C144" s="136"/>
      <c r="D144" s="136"/>
      <c r="E144" s="136"/>
      <c r="F144" s="136"/>
      <c r="G144" s="136"/>
      <c r="H144" s="136"/>
      <c r="I144" s="136">
        <v>0</v>
      </c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3">
        <f>SUM(B144:Y144)</f>
        <v>0</v>
      </c>
    </row>
    <row r="145" spans="1:208" ht="20.25" customHeight="1">
      <c r="A145" s="126" t="s">
        <v>237</v>
      </c>
      <c r="B145" s="138">
        <f t="shared" ref="B145:Z145" si="33">SUM(B141:B144)</f>
        <v>0</v>
      </c>
      <c r="C145" s="138">
        <f t="shared" si="33"/>
        <v>0</v>
      </c>
      <c r="D145" s="138">
        <f t="shared" si="33"/>
        <v>0</v>
      </c>
      <c r="E145" s="138">
        <f t="shared" si="33"/>
        <v>0</v>
      </c>
      <c r="F145" s="138">
        <f t="shared" si="33"/>
        <v>0</v>
      </c>
      <c r="G145" s="138">
        <f t="shared" si="33"/>
        <v>0</v>
      </c>
      <c r="H145" s="138">
        <f t="shared" si="33"/>
        <v>0</v>
      </c>
      <c r="I145" s="138">
        <f t="shared" si="33"/>
        <v>0</v>
      </c>
      <c r="J145" s="138">
        <f t="shared" si="33"/>
        <v>0</v>
      </c>
      <c r="K145" s="138">
        <f t="shared" si="33"/>
        <v>0</v>
      </c>
      <c r="L145" s="138">
        <f t="shared" si="33"/>
        <v>0</v>
      </c>
      <c r="M145" s="138">
        <f t="shared" si="33"/>
        <v>0</v>
      </c>
      <c r="N145" s="138">
        <f t="shared" si="33"/>
        <v>0</v>
      </c>
      <c r="O145" s="138">
        <f t="shared" si="33"/>
        <v>0</v>
      </c>
      <c r="P145" s="138">
        <f t="shared" si="33"/>
        <v>0</v>
      </c>
      <c r="Q145" s="138">
        <f t="shared" si="33"/>
        <v>0</v>
      </c>
      <c r="R145" s="138">
        <f t="shared" si="33"/>
        <v>0</v>
      </c>
      <c r="S145" s="138">
        <f t="shared" si="33"/>
        <v>0</v>
      </c>
      <c r="T145" s="138">
        <f t="shared" si="33"/>
        <v>0</v>
      </c>
      <c r="U145" s="138">
        <f t="shared" si="33"/>
        <v>0</v>
      </c>
      <c r="V145" s="138">
        <f t="shared" si="33"/>
        <v>0</v>
      </c>
      <c r="W145" s="138">
        <f t="shared" si="33"/>
        <v>0</v>
      </c>
      <c r="X145" s="138">
        <f t="shared" si="33"/>
        <v>0</v>
      </c>
      <c r="Y145" s="138">
        <f t="shared" si="33"/>
        <v>0</v>
      </c>
      <c r="Z145" s="140">
        <f t="shared" si="33"/>
        <v>0</v>
      </c>
    </row>
    <row r="146" spans="1:208" ht="20.25" customHeight="1" thickBot="1">
      <c r="A146" s="128" t="s">
        <v>238</v>
      </c>
      <c r="B146" s="137">
        <f t="shared" ref="B146:Y146" si="34">B140+B145</f>
        <v>0</v>
      </c>
      <c r="C146" s="137">
        <f t="shared" si="34"/>
        <v>0</v>
      </c>
      <c r="D146" s="137">
        <f t="shared" si="34"/>
        <v>0</v>
      </c>
      <c r="E146" s="137">
        <f t="shared" si="34"/>
        <v>0</v>
      </c>
      <c r="F146" s="137">
        <f t="shared" si="34"/>
        <v>0</v>
      </c>
      <c r="G146" s="137">
        <f t="shared" si="34"/>
        <v>1316000</v>
      </c>
      <c r="H146" s="137">
        <f t="shared" si="34"/>
        <v>0</v>
      </c>
      <c r="I146" s="137">
        <f t="shared" si="34"/>
        <v>70000</v>
      </c>
      <c r="J146" s="137">
        <f t="shared" si="34"/>
        <v>0</v>
      </c>
      <c r="K146" s="137">
        <f t="shared" si="34"/>
        <v>0</v>
      </c>
      <c r="L146" s="137">
        <f t="shared" si="34"/>
        <v>0</v>
      </c>
      <c r="M146" s="137">
        <f t="shared" si="34"/>
        <v>0</v>
      </c>
      <c r="N146" s="137">
        <f t="shared" si="34"/>
        <v>0</v>
      </c>
      <c r="O146" s="137">
        <f t="shared" si="34"/>
        <v>0</v>
      </c>
      <c r="P146" s="137">
        <f t="shared" si="34"/>
        <v>0</v>
      </c>
      <c r="Q146" s="137">
        <f t="shared" si="34"/>
        <v>0</v>
      </c>
      <c r="R146" s="137">
        <f t="shared" si="34"/>
        <v>0</v>
      </c>
      <c r="S146" s="137">
        <f t="shared" si="34"/>
        <v>0</v>
      </c>
      <c r="T146" s="137">
        <f t="shared" si="34"/>
        <v>0</v>
      </c>
      <c r="U146" s="137">
        <f t="shared" si="34"/>
        <v>0</v>
      </c>
      <c r="V146" s="137">
        <f t="shared" si="34"/>
        <v>0</v>
      </c>
      <c r="W146" s="137">
        <f t="shared" si="34"/>
        <v>0</v>
      </c>
      <c r="X146" s="137">
        <f t="shared" si="34"/>
        <v>0</v>
      </c>
      <c r="Y146" s="137">
        <f t="shared" si="34"/>
        <v>0</v>
      </c>
      <c r="Z146" s="144">
        <f>+Z140+Z145</f>
        <v>1386000</v>
      </c>
    </row>
    <row r="147" spans="1:208" ht="20.25" customHeight="1">
      <c r="A147" s="126" t="s">
        <v>237</v>
      </c>
      <c r="B147" s="160">
        <f t="shared" ref="B147:Z147" si="35">B17+B26+B37+B57+B65+B81+B97+B107+B114+B138+B145</f>
        <v>522430.93000000005</v>
      </c>
      <c r="C147" s="160">
        <f t="shared" si="35"/>
        <v>133838</v>
      </c>
      <c r="D147" s="160">
        <f t="shared" si="35"/>
        <v>0</v>
      </c>
      <c r="E147" s="160">
        <f t="shared" si="35"/>
        <v>164.78</v>
      </c>
      <c r="F147" s="160">
        <f t="shared" si="35"/>
        <v>19682.53</v>
      </c>
      <c r="G147" s="160">
        <f t="shared" si="35"/>
        <v>40000</v>
      </c>
      <c r="H147" s="160">
        <f t="shared" si="35"/>
        <v>0</v>
      </c>
      <c r="I147" s="160">
        <f t="shared" si="35"/>
        <v>0</v>
      </c>
      <c r="J147" s="160">
        <f t="shared" si="35"/>
        <v>0</v>
      </c>
      <c r="K147" s="160">
        <f t="shared" si="35"/>
        <v>0</v>
      </c>
      <c r="L147" s="160">
        <f t="shared" si="35"/>
        <v>0</v>
      </c>
      <c r="M147" s="160">
        <f t="shared" si="35"/>
        <v>78140</v>
      </c>
      <c r="N147" s="160">
        <f t="shared" si="35"/>
        <v>0</v>
      </c>
      <c r="O147" s="160">
        <f t="shared" si="35"/>
        <v>0</v>
      </c>
      <c r="P147" s="160">
        <f t="shared" si="35"/>
        <v>0</v>
      </c>
      <c r="Q147" s="160">
        <f t="shared" si="35"/>
        <v>0</v>
      </c>
      <c r="R147" s="160">
        <f t="shared" si="35"/>
        <v>0</v>
      </c>
      <c r="S147" s="160">
        <f t="shared" si="35"/>
        <v>0</v>
      </c>
      <c r="T147" s="160">
        <f t="shared" si="35"/>
        <v>0</v>
      </c>
      <c r="U147" s="160">
        <f t="shared" si="35"/>
        <v>0</v>
      </c>
      <c r="V147" s="160">
        <f t="shared" si="35"/>
        <v>0</v>
      </c>
      <c r="W147" s="160">
        <f t="shared" si="35"/>
        <v>0</v>
      </c>
      <c r="X147" s="160">
        <f t="shared" si="35"/>
        <v>160258.93</v>
      </c>
      <c r="Y147" s="160">
        <f t="shared" si="35"/>
        <v>10041</v>
      </c>
      <c r="Z147" s="140">
        <f t="shared" si="35"/>
        <v>964556.17</v>
      </c>
    </row>
    <row r="148" spans="1:208" ht="20.25" customHeight="1" thickBot="1">
      <c r="A148" s="128" t="s">
        <v>238</v>
      </c>
      <c r="B148" s="165">
        <f t="shared" ref="B148:Z148" si="36">B18+B27+B38+B58+B66+B82+B98+B108+B115+B139+B146</f>
        <v>3483240.74</v>
      </c>
      <c r="C148" s="165">
        <f t="shared" si="36"/>
        <v>869529</v>
      </c>
      <c r="D148" s="165">
        <f t="shared" si="36"/>
        <v>125343</v>
      </c>
      <c r="E148" s="165">
        <f t="shared" si="36"/>
        <v>32173.03</v>
      </c>
      <c r="F148" s="165">
        <f t="shared" si="36"/>
        <v>985732.60000000009</v>
      </c>
      <c r="G148" s="165">
        <f t="shared" si="36"/>
        <v>1845920</v>
      </c>
      <c r="H148" s="165">
        <f t="shared" si="36"/>
        <v>0</v>
      </c>
      <c r="I148" s="165">
        <f t="shared" si="36"/>
        <v>70000</v>
      </c>
      <c r="J148" s="165">
        <f t="shared" si="36"/>
        <v>0</v>
      </c>
      <c r="K148" s="165">
        <f t="shared" si="36"/>
        <v>0</v>
      </c>
      <c r="L148" s="165">
        <f t="shared" si="36"/>
        <v>0</v>
      </c>
      <c r="M148" s="165">
        <f t="shared" si="36"/>
        <v>833611</v>
      </c>
      <c r="N148" s="165">
        <f t="shared" si="36"/>
        <v>0</v>
      </c>
      <c r="O148" s="165">
        <f t="shared" si="36"/>
        <v>0</v>
      </c>
      <c r="P148" s="165">
        <f t="shared" si="36"/>
        <v>2994</v>
      </c>
      <c r="Q148" s="165">
        <f t="shared" si="36"/>
        <v>0</v>
      </c>
      <c r="R148" s="165">
        <f t="shared" si="36"/>
        <v>0</v>
      </c>
      <c r="S148" s="165">
        <f t="shared" si="36"/>
        <v>49995</v>
      </c>
      <c r="T148" s="165">
        <f t="shared" si="36"/>
        <v>105190</v>
      </c>
      <c r="U148" s="165">
        <f t="shared" si="36"/>
        <v>0</v>
      </c>
      <c r="V148" s="165">
        <f t="shared" si="36"/>
        <v>0</v>
      </c>
      <c r="W148" s="165">
        <f t="shared" si="36"/>
        <v>0</v>
      </c>
      <c r="X148" s="165">
        <f t="shared" si="36"/>
        <v>476128.83999999997</v>
      </c>
      <c r="Y148" s="165">
        <f t="shared" si="36"/>
        <v>386433.7</v>
      </c>
      <c r="Z148" s="166">
        <f t="shared" si="36"/>
        <v>9266290.9100000001</v>
      </c>
    </row>
    <row r="149" spans="1:208" ht="20.25" customHeight="1">
      <c r="H149" s="141"/>
    </row>
    <row r="152" spans="1:208" s="157" customFormat="1" ht="20.25" customHeight="1"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125"/>
      <c r="AB152" s="125"/>
      <c r="AC152" s="125"/>
      <c r="AD152" s="125"/>
      <c r="AE152" s="125"/>
      <c r="AF152" s="125"/>
      <c r="AG152" s="125"/>
      <c r="AH152" s="125"/>
      <c r="AI152" s="125"/>
      <c r="AJ152" s="125"/>
      <c r="AK152" s="125"/>
      <c r="AL152" s="125"/>
      <c r="AM152" s="125"/>
      <c r="AN152" s="125"/>
      <c r="AO152" s="125"/>
      <c r="AP152" s="125"/>
      <c r="AQ152" s="125"/>
      <c r="AR152" s="125"/>
      <c r="AS152" s="125"/>
      <c r="AT152" s="125"/>
      <c r="AU152" s="125"/>
      <c r="AV152" s="125"/>
      <c r="AW152" s="125"/>
      <c r="AX152" s="125"/>
      <c r="AY152" s="125"/>
      <c r="AZ152" s="125"/>
      <c r="BA152" s="125"/>
      <c r="BB152" s="125"/>
      <c r="BC152" s="125"/>
      <c r="BD152" s="125"/>
      <c r="BE152" s="125"/>
      <c r="BF152" s="125"/>
      <c r="BG152" s="125"/>
      <c r="BH152" s="125"/>
      <c r="BI152" s="125"/>
      <c r="BJ152" s="125"/>
      <c r="BK152" s="125"/>
      <c r="BL152" s="125"/>
      <c r="BM152" s="125"/>
      <c r="BN152" s="125"/>
      <c r="BO152" s="125"/>
      <c r="BP152" s="125"/>
      <c r="BQ152" s="125"/>
      <c r="BR152" s="125"/>
      <c r="BS152" s="125"/>
      <c r="BT152" s="125"/>
      <c r="BU152" s="125"/>
      <c r="BV152" s="125"/>
      <c r="BW152" s="125"/>
      <c r="BX152" s="125"/>
      <c r="BY152" s="125"/>
      <c r="BZ152" s="125"/>
      <c r="CA152" s="125"/>
      <c r="CB152" s="125"/>
      <c r="CC152" s="125"/>
      <c r="CD152" s="125"/>
      <c r="CE152" s="125"/>
      <c r="CF152" s="125"/>
      <c r="CG152" s="125"/>
      <c r="CH152" s="125"/>
      <c r="CI152" s="125"/>
      <c r="CJ152" s="125"/>
      <c r="CK152" s="125"/>
      <c r="CL152" s="125"/>
      <c r="CM152" s="125"/>
      <c r="CN152" s="125"/>
      <c r="CO152" s="125"/>
      <c r="CP152" s="125"/>
      <c r="CQ152" s="125"/>
      <c r="CR152" s="125"/>
      <c r="CS152" s="125"/>
      <c r="CT152" s="125"/>
      <c r="CU152" s="125"/>
      <c r="CV152" s="125"/>
      <c r="CW152" s="125"/>
      <c r="CX152" s="125"/>
      <c r="CY152" s="125"/>
      <c r="CZ152" s="125"/>
      <c r="DA152" s="125"/>
      <c r="DB152" s="125"/>
      <c r="DC152" s="125"/>
      <c r="DD152" s="125"/>
      <c r="DE152" s="125"/>
      <c r="DF152" s="125"/>
      <c r="DG152" s="125"/>
      <c r="DH152" s="125"/>
      <c r="DI152" s="125"/>
      <c r="DJ152" s="125"/>
      <c r="DK152" s="125"/>
      <c r="DL152" s="125"/>
      <c r="DM152" s="125"/>
      <c r="DN152" s="125"/>
      <c r="DO152" s="125"/>
      <c r="DP152" s="125"/>
      <c r="DQ152" s="125"/>
      <c r="DR152" s="125"/>
      <c r="DS152" s="125"/>
      <c r="DT152" s="125"/>
      <c r="DU152" s="125"/>
      <c r="DV152" s="125"/>
      <c r="DW152" s="125"/>
      <c r="DX152" s="125"/>
      <c r="DY152" s="125"/>
      <c r="DZ152" s="125"/>
      <c r="EA152" s="125"/>
      <c r="EB152" s="125"/>
      <c r="EC152" s="125"/>
      <c r="ED152" s="125"/>
      <c r="EE152" s="125"/>
      <c r="EF152" s="125"/>
      <c r="EG152" s="125"/>
      <c r="EH152" s="125"/>
      <c r="EI152" s="125"/>
      <c r="EJ152" s="125"/>
      <c r="EK152" s="125"/>
      <c r="EL152" s="125"/>
      <c r="EM152" s="125"/>
      <c r="EN152" s="125"/>
      <c r="EO152" s="125"/>
      <c r="EP152" s="125"/>
      <c r="EQ152" s="125"/>
      <c r="ER152" s="125"/>
      <c r="ES152" s="125"/>
      <c r="ET152" s="125"/>
      <c r="EU152" s="125"/>
      <c r="EV152" s="125"/>
      <c r="EW152" s="125"/>
      <c r="EX152" s="125"/>
      <c r="EY152" s="125"/>
      <c r="EZ152" s="125"/>
      <c r="FA152" s="125"/>
      <c r="FB152" s="125"/>
      <c r="FC152" s="125"/>
      <c r="FD152" s="125"/>
      <c r="FE152" s="125"/>
      <c r="FF152" s="125"/>
      <c r="FG152" s="125"/>
      <c r="FH152" s="125"/>
      <c r="FI152" s="125"/>
      <c r="FJ152" s="125"/>
      <c r="FK152" s="125"/>
      <c r="FL152" s="125"/>
      <c r="FM152" s="125"/>
      <c r="FN152" s="125"/>
      <c r="FO152" s="125"/>
      <c r="FP152" s="125"/>
      <c r="FQ152" s="125"/>
      <c r="FR152" s="125"/>
      <c r="FS152" s="125"/>
      <c r="FT152" s="125"/>
      <c r="FU152" s="125"/>
      <c r="FV152" s="125"/>
      <c r="FW152" s="125"/>
      <c r="FX152" s="125"/>
      <c r="FY152" s="125"/>
      <c r="FZ152" s="125"/>
      <c r="GA152" s="125"/>
      <c r="GB152" s="125"/>
      <c r="GC152" s="125"/>
      <c r="GD152" s="125"/>
      <c r="GE152" s="125"/>
      <c r="GF152" s="125"/>
      <c r="GG152" s="125"/>
      <c r="GH152" s="125"/>
      <c r="GI152" s="125"/>
      <c r="GJ152" s="125"/>
      <c r="GK152" s="125"/>
      <c r="GL152" s="125"/>
      <c r="GM152" s="125"/>
      <c r="GN152" s="125"/>
      <c r="GO152" s="125"/>
      <c r="GP152" s="125"/>
      <c r="GQ152" s="125"/>
      <c r="GR152" s="125"/>
      <c r="GS152" s="125"/>
      <c r="GT152" s="125"/>
      <c r="GU152" s="125"/>
      <c r="GV152" s="125"/>
      <c r="GW152" s="125"/>
      <c r="GX152" s="125"/>
      <c r="GY152" s="125"/>
      <c r="GZ152" s="125"/>
    </row>
    <row r="153" spans="1:208" s="157" customFormat="1" ht="20.25" customHeight="1"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5"/>
      <c r="AG153" s="125"/>
      <c r="AH153" s="125"/>
      <c r="AI153" s="125"/>
      <c r="AJ153" s="125"/>
      <c r="AK153" s="125"/>
      <c r="AL153" s="125"/>
      <c r="AM153" s="125"/>
      <c r="AN153" s="125"/>
      <c r="AO153" s="125"/>
      <c r="AP153" s="125"/>
      <c r="AQ153" s="125"/>
      <c r="AR153" s="125"/>
      <c r="AS153" s="125"/>
      <c r="AT153" s="125"/>
      <c r="AU153" s="125"/>
      <c r="AV153" s="125"/>
      <c r="AW153" s="125"/>
      <c r="AX153" s="125"/>
      <c r="AY153" s="125"/>
      <c r="AZ153" s="125"/>
      <c r="BA153" s="125"/>
      <c r="BB153" s="125"/>
      <c r="BC153" s="125"/>
      <c r="BD153" s="125"/>
      <c r="BE153" s="125"/>
      <c r="BF153" s="125"/>
      <c r="BG153" s="125"/>
      <c r="BH153" s="125"/>
      <c r="BI153" s="125"/>
      <c r="BJ153" s="125"/>
      <c r="BK153" s="125"/>
      <c r="BL153" s="125"/>
      <c r="BM153" s="125"/>
      <c r="BN153" s="125"/>
      <c r="BO153" s="125"/>
      <c r="BP153" s="125"/>
      <c r="BQ153" s="125"/>
      <c r="BR153" s="125"/>
      <c r="BS153" s="125"/>
      <c r="BT153" s="125"/>
      <c r="BU153" s="125"/>
      <c r="BV153" s="125"/>
      <c r="BW153" s="125"/>
      <c r="BX153" s="125"/>
      <c r="BY153" s="125"/>
      <c r="BZ153" s="125"/>
      <c r="CA153" s="125"/>
      <c r="CB153" s="125"/>
      <c r="CC153" s="125"/>
      <c r="CD153" s="125"/>
      <c r="CE153" s="125"/>
      <c r="CF153" s="125"/>
      <c r="CG153" s="125"/>
      <c r="CH153" s="125"/>
      <c r="CI153" s="125"/>
      <c r="CJ153" s="125"/>
      <c r="CK153" s="125"/>
      <c r="CL153" s="125"/>
      <c r="CM153" s="125"/>
      <c r="CN153" s="125"/>
      <c r="CO153" s="125"/>
      <c r="CP153" s="125"/>
      <c r="CQ153" s="125"/>
      <c r="CR153" s="125"/>
      <c r="CS153" s="125"/>
      <c r="CT153" s="125"/>
      <c r="CU153" s="125"/>
      <c r="CV153" s="125"/>
      <c r="CW153" s="125"/>
      <c r="CX153" s="125"/>
      <c r="CY153" s="125"/>
      <c r="CZ153" s="125"/>
      <c r="DA153" s="125"/>
      <c r="DB153" s="125"/>
      <c r="DC153" s="125"/>
      <c r="DD153" s="125"/>
      <c r="DE153" s="125"/>
      <c r="DF153" s="125"/>
      <c r="DG153" s="125"/>
      <c r="DH153" s="125"/>
      <c r="DI153" s="125"/>
      <c r="DJ153" s="125"/>
      <c r="DK153" s="125"/>
      <c r="DL153" s="125"/>
      <c r="DM153" s="125"/>
      <c r="DN153" s="125"/>
      <c r="DO153" s="125"/>
      <c r="DP153" s="125"/>
      <c r="DQ153" s="125"/>
      <c r="DR153" s="125"/>
      <c r="DS153" s="125"/>
      <c r="DT153" s="125"/>
      <c r="DU153" s="125"/>
      <c r="DV153" s="125"/>
      <c r="DW153" s="125"/>
      <c r="DX153" s="125"/>
      <c r="DY153" s="125"/>
      <c r="DZ153" s="125"/>
      <c r="EA153" s="125"/>
      <c r="EB153" s="125"/>
      <c r="EC153" s="125"/>
      <c r="ED153" s="125"/>
      <c r="EE153" s="125"/>
      <c r="EF153" s="125"/>
      <c r="EG153" s="125"/>
      <c r="EH153" s="125"/>
      <c r="EI153" s="125"/>
      <c r="EJ153" s="125"/>
      <c r="EK153" s="125"/>
      <c r="EL153" s="125"/>
      <c r="EM153" s="125"/>
      <c r="EN153" s="125"/>
      <c r="EO153" s="125"/>
      <c r="EP153" s="125"/>
      <c r="EQ153" s="125"/>
      <c r="ER153" s="125"/>
      <c r="ES153" s="125"/>
      <c r="ET153" s="125"/>
      <c r="EU153" s="125"/>
      <c r="EV153" s="125"/>
      <c r="EW153" s="125"/>
      <c r="EX153" s="125"/>
      <c r="EY153" s="125"/>
      <c r="EZ153" s="125"/>
      <c r="FA153" s="125"/>
      <c r="FB153" s="125"/>
      <c r="FC153" s="125"/>
      <c r="FD153" s="125"/>
      <c r="FE153" s="125"/>
      <c r="FF153" s="125"/>
      <c r="FG153" s="125"/>
      <c r="FH153" s="125"/>
      <c r="FI153" s="125"/>
      <c r="FJ153" s="125"/>
      <c r="FK153" s="125"/>
      <c r="FL153" s="125"/>
      <c r="FM153" s="125"/>
      <c r="FN153" s="125"/>
      <c r="FO153" s="125"/>
      <c r="FP153" s="125"/>
      <c r="FQ153" s="125"/>
      <c r="FR153" s="125"/>
      <c r="FS153" s="125"/>
      <c r="FT153" s="125"/>
      <c r="FU153" s="125"/>
      <c r="FV153" s="125"/>
      <c r="FW153" s="125"/>
      <c r="FX153" s="125"/>
      <c r="FY153" s="125"/>
      <c r="FZ153" s="125"/>
      <c r="GA153" s="125"/>
      <c r="GB153" s="125"/>
      <c r="GC153" s="125"/>
      <c r="GD153" s="125"/>
      <c r="GE153" s="125"/>
      <c r="GF153" s="125"/>
      <c r="GG153" s="125"/>
      <c r="GH153" s="125"/>
      <c r="GI153" s="125"/>
      <c r="GJ153" s="125"/>
      <c r="GK153" s="125"/>
      <c r="GL153" s="125"/>
      <c r="GM153" s="125"/>
      <c r="GN153" s="125"/>
      <c r="GO153" s="125"/>
      <c r="GP153" s="125"/>
      <c r="GQ153" s="125"/>
      <c r="GR153" s="125"/>
      <c r="GS153" s="125"/>
      <c r="GT153" s="125"/>
      <c r="GU153" s="125"/>
      <c r="GV153" s="125"/>
      <c r="GW153" s="125"/>
      <c r="GX153" s="125"/>
      <c r="GY153" s="125"/>
      <c r="GZ153" s="125"/>
    </row>
    <row r="154" spans="1:208" s="157" customFormat="1" ht="20.25" customHeight="1"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  <c r="AA154" s="125"/>
      <c r="AB154" s="125"/>
      <c r="AC154" s="125"/>
      <c r="AD154" s="125"/>
      <c r="AE154" s="125"/>
      <c r="AF154" s="125"/>
      <c r="AG154" s="125"/>
      <c r="AH154" s="125"/>
      <c r="AI154" s="125"/>
      <c r="AJ154" s="125"/>
      <c r="AK154" s="125"/>
      <c r="AL154" s="125"/>
      <c r="AM154" s="125"/>
      <c r="AN154" s="125"/>
      <c r="AO154" s="125"/>
      <c r="AP154" s="125"/>
      <c r="AQ154" s="125"/>
      <c r="AR154" s="125"/>
      <c r="AS154" s="125"/>
      <c r="AT154" s="125"/>
      <c r="AU154" s="125"/>
      <c r="AV154" s="125"/>
      <c r="AW154" s="125"/>
      <c r="AX154" s="125"/>
      <c r="AY154" s="125"/>
      <c r="AZ154" s="125"/>
      <c r="BA154" s="125"/>
      <c r="BB154" s="125"/>
      <c r="BC154" s="125"/>
      <c r="BD154" s="125"/>
      <c r="BE154" s="125"/>
      <c r="BF154" s="125"/>
      <c r="BG154" s="125"/>
      <c r="BH154" s="125"/>
      <c r="BI154" s="125"/>
      <c r="BJ154" s="125"/>
      <c r="BK154" s="125"/>
      <c r="BL154" s="125"/>
      <c r="BM154" s="125"/>
      <c r="BN154" s="125"/>
      <c r="BO154" s="125"/>
      <c r="BP154" s="125"/>
      <c r="BQ154" s="125"/>
      <c r="BR154" s="125"/>
      <c r="BS154" s="125"/>
      <c r="BT154" s="125"/>
      <c r="BU154" s="125"/>
      <c r="BV154" s="125"/>
      <c r="BW154" s="125"/>
      <c r="BX154" s="125"/>
      <c r="BY154" s="125"/>
      <c r="BZ154" s="125"/>
      <c r="CA154" s="125"/>
      <c r="CB154" s="125"/>
      <c r="CC154" s="125"/>
      <c r="CD154" s="125"/>
      <c r="CE154" s="125"/>
      <c r="CF154" s="125"/>
      <c r="CG154" s="125"/>
      <c r="CH154" s="125"/>
      <c r="CI154" s="125"/>
      <c r="CJ154" s="125"/>
      <c r="CK154" s="125"/>
      <c r="CL154" s="125"/>
      <c r="CM154" s="125"/>
      <c r="CN154" s="125"/>
      <c r="CO154" s="125"/>
      <c r="CP154" s="125"/>
      <c r="CQ154" s="125"/>
      <c r="CR154" s="125"/>
      <c r="CS154" s="125"/>
      <c r="CT154" s="125"/>
      <c r="CU154" s="125"/>
      <c r="CV154" s="125"/>
      <c r="CW154" s="125"/>
      <c r="CX154" s="125"/>
      <c r="CY154" s="125"/>
      <c r="CZ154" s="125"/>
      <c r="DA154" s="125"/>
      <c r="DB154" s="125"/>
      <c r="DC154" s="125"/>
      <c r="DD154" s="125"/>
      <c r="DE154" s="125"/>
      <c r="DF154" s="125"/>
      <c r="DG154" s="125"/>
      <c r="DH154" s="125"/>
      <c r="DI154" s="125"/>
      <c r="DJ154" s="125"/>
      <c r="DK154" s="125"/>
      <c r="DL154" s="125"/>
      <c r="DM154" s="125"/>
      <c r="DN154" s="125"/>
      <c r="DO154" s="125"/>
      <c r="DP154" s="125"/>
      <c r="DQ154" s="125"/>
      <c r="DR154" s="125"/>
      <c r="DS154" s="125"/>
      <c r="DT154" s="125"/>
      <c r="DU154" s="125"/>
      <c r="DV154" s="125"/>
      <c r="DW154" s="125"/>
      <c r="DX154" s="125"/>
      <c r="DY154" s="125"/>
      <c r="DZ154" s="125"/>
      <c r="EA154" s="125"/>
      <c r="EB154" s="125"/>
      <c r="EC154" s="125"/>
      <c r="ED154" s="125"/>
      <c r="EE154" s="125"/>
      <c r="EF154" s="125"/>
      <c r="EG154" s="125"/>
      <c r="EH154" s="125"/>
      <c r="EI154" s="125"/>
      <c r="EJ154" s="125"/>
      <c r="EK154" s="125"/>
      <c r="EL154" s="125"/>
      <c r="EM154" s="125"/>
      <c r="EN154" s="125"/>
      <c r="EO154" s="125"/>
      <c r="EP154" s="125"/>
      <c r="EQ154" s="125"/>
      <c r="ER154" s="125"/>
      <c r="ES154" s="125"/>
      <c r="ET154" s="125"/>
      <c r="EU154" s="125"/>
      <c r="EV154" s="125"/>
      <c r="EW154" s="125"/>
      <c r="EX154" s="125"/>
      <c r="EY154" s="125"/>
      <c r="EZ154" s="125"/>
      <c r="FA154" s="125"/>
      <c r="FB154" s="125"/>
      <c r="FC154" s="125"/>
      <c r="FD154" s="125"/>
      <c r="FE154" s="125"/>
      <c r="FF154" s="125"/>
      <c r="FG154" s="125"/>
      <c r="FH154" s="125"/>
      <c r="FI154" s="125"/>
      <c r="FJ154" s="125"/>
      <c r="FK154" s="125"/>
      <c r="FL154" s="125"/>
      <c r="FM154" s="125"/>
      <c r="FN154" s="125"/>
      <c r="FO154" s="125"/>
      <c r="FP154" s="125"/>
      <c r="FQ154" s="125"/>
      <c r="FR154" s="125"/>
      <c r="FS154" s="125"/>
      <c r="FT154" s="125"/>
      <c r="FU154" s="125"/>
      <c r="FV154" s="125"/>
      <c r="FW154" s="125"/>
      <c r="FX154" s="125"/>
      <c r="FY154" s="125"/>
      <c r="FZ154" s="125"/>
      <c r="GA154" s="125"/>
      <c r="GB154" s="125"/>
      <c r="GC154" s="125"/>
      <c r="GD154" s="125"/>
      <c r="GE154" s="125"/>
      <c r="GF154" s="125"/>
      <c r="GG154" s="125"/>
      <c r="GH154" s="125"/>
      <c r="GI154" s="125"/>
      <c r="GJ154" s="125"/>
      <c r="GK154" s="125"/>
      <c r="GL154" s="125"/>
      <c r="GM154" s="125"/>
      <c r="GN154" s="125"/>
      <c r="GO154" s="125"/>
      <c r="GP154" s="125"/>
      <c r="GQ154" s="125"/>
      <c r="GR154" s="125"/>
      <c r="GS154" s="125"/>
      <c r="GT154" s="125"/>
      <c r="GU154" s="125"/>
      <c r="GV154" s="125"/>
      <c r="GW154" s="125"/>
      <c r="GX154" s="125"/>
      <c r="GY154" s="125"/>
      <c r="GZ154" s="125"/>
    </row>
    <row r="155" spans="1:208" s="157" customFormat="1" ht="20.25" customHeight="1"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125"/>
      <c r="AH155" s="125"/>
      <c r="AI155" s="125"/>
      <c r="AJ155" s="125"/>
      <c r="AK155" s="125"/>
      <c r="AL155" s="125"/>
      <c r="AM155" s="125"/>
      <c r="AN155" s="125"/>
      <c r="AO155" s="125"/>
      <c r="AP155" s="125"/>
      <c r="AQ155" s="125"/>
      <c r="AR155" s="125"/>
      <c r="AS155" s="125"/>
      <c r="AT155" s="125"/>
      <c r="AU155" s="125"/>
      <c r="AV155" s="125"/>
      <c r="AW155" s="125"/>
      <c r="AX155" s="125"/>
      <c r="AY155" s="125"/>
      <c r="AZ155" s="125"/>
      <c r="BA155" s="125"/>
      <c r="BB155" s="125"/>
      <c r="BC155" s="125"/>
      <c r="BD155" s="125"/>
      <c r="BE155" s="125"/>
      <c r="BF155" s="125"/>
      <c r="BG155" s="125"/>
      <c r="BH155" s="125"/>
      <c r="BI155" s="125"/>
      <c r="BJ155" s="125"/>
      <c r="BK155" s="125"/>
      <c r="BL155" s="125"/>
      <c r="BM155" s="125"/>
      <c r="BN155" s="125"/>
      <c r="BO155" s="125"/>
      <c r="BP155" s="125"/>
      <c r="BQ155" s="125"/>
      <c r="BR155" s="125"/>
      <c r="BS155" s="125"/>
      <c r="BT155" s="125"/>
      <c r="BU155" s="125"/>
      <c r="BV155" s="125"/>
      <c r="BW155" s="125"/>
      <c r="BX155" s="125"/>
      <c r="BY155" s="125"/>
      <c r="BZ155" s="125"/>
      <c r="CA155" s="125"/>
      <c r="CB155" s="125"/>
      <c r="CC155" s="125"/>
      <c r="CD155" s="125"/>
      <c r="CE155" s="125"/>
      <c r="CF155" s="125"/>
      <c r="CG155" s="125"/>
      <c r="CH155" s="125"/>
      <c r="CI155" s="125"/>
      <c r="CJ155" s="125"/>
      <c r="CK155" s="125"/>
      <c r="CL155" s="125"/>
      <c r="CM155" s="125"/>
      <c r="CN155" s="125"/>
      <c r="CO155" s="125"/>
      <c r="CP155" s="125"/>
      <c r="CQ155" s="125"/>
      <c r="CR155" s="125"/>
      <c r="CS155" s="125"/>
      <c r="CT155" s="125"/>
      <c r="CU155" s="125"/>
      <c r="CV155" s="125"/>
      <c r="CW155" s="125"/>
      <c r="CX155" s="125"/>
      <c r="CY155" s="125"/>
      <c r="CZ155" s="125"/>
      <c r="DA155" s="125"/>
      <c r="DB155" s="125"/>
      <c r="DC155" s="125"/>
      <c r="DD155" s="125"/>
      <c r="DE155" s="125"/>
      <c r="DF155" s="125"/>
      <c r="DG155" s="125"/>
      <c r="DH155" s="125"/>
      <c r="DI155" s="125"/>
      <c r="DJ155" s="125"/>
      <c r="DK155" s="125"/>
      <c r="DL155" s="125"/>
      <c r="DM155" s="125"/>
      <c r="DN155" s="125"/>
      <c r="DO155" s="125"/>
      <c r="DP155" s="125"/>
      <c r="DQ155" s="125"/>
      <c r="DR155" s="125"/>
      <c r="DS155" s="125"/>
      <c r="DT155" s="125"/>
      <c r="DU155" s="125"/>
      <c r="DV155" s="125"/>
      <c r="DW155" s="125"/>
      <c r="DX155" s="125"/>
      <c r="DY155" s="125"/>
      <c r="DZ155" s="125"/>
      <c r="EA155" s="125"/>
      <c r="EB155" s="125"/>
      <c r="EC155" s="125"/>
      <c r="ED155" s="125"/>
      <c r="EE155" s="125"/>
      <c r="EF155" s="125"/>
      <c r="EG155" s="125"/>
      <c r="EH155" s="125"/>
      <c r="EI155" s="125"/>
      <c r="EJ155" s="125"/>
      <c r="EK155" s="125"/>
      <c r="EL155" s="125"/>
      <c r="EM155" s="125"/>
      <c r="EN155" s="125"/>
      <c r="EO155" s="125"/>
      <c r="EP155" s="125"/>
      <c r="EQ155" s="125"/>
      <c r="ER155" s="125"/>
      <c r="ES155" s="125"/>
      <c r="ET155" s="125"/>
      <c r="EU155" s="125"/>
      <c r="EV155" s="125"/>
      <c r="EW155" s="125"/>
      <c r="EX155" s="125"/>
      <c r="EY155" s="125"/>
      <c r="EZ155" s="125"/>
      <c r="FA155" s="125"/>
      <c r="FB155" s="125"/>
      <c r="FC155" s="125"/>
      <c r="FD155" s="125"/>
      <c r="FE155" s="125"/>
      <c r="FF155" s="125"/>
      <c r="FG155" s="125"/>
      <c r="FH155" s="125"/>
      <c r="FI155" s="125"/>
      <c r="FJ155" s="125"/>
      <c r="FK155" s="125"/>
      <c r="FL155" s="125"/>
      <c r="FM155" s="125"/>
      <c r="FN155" s="125"/>
      <c r="FO155" s="125"/>
      <c r="FP155" s="125"/>
      <c r="FQ155" s="125"/>
      <c r="FR155" s="125"/>
      <c r="FS155" s="125"/>
      <c r="FT155" s="125"/>
      <c r="FU155" s="125"/>
      <c r="FV155" s="125"/>
      <c r="FW155" s="125"/>
      <c r="FX155" s="125"/>
      <c r="FY155" s="125"/>
      <c r="FZ155" s="125"/>
      <c r="GA155" s="125"/>
      <c r="GB155" s="125"/>
      <c r="GC155" s="125"/>
      <c r="GD155" s="125"/>
      <c r="GE155" s="125"/>
      <c r="GF155" s="125"/>
      <c r="GG155" s="125"/>
      <c r="GH155" s="125"/>
      <c r="GI155" s="125"/>
      <c r="GJ155" s="125"/>
      <c r="GK155" s="125"/>
      <c r="GL155" s="125"/>
      <c r="GM155" s="125"/>
      <c r="GN155" s="125"/>
      <c r="GO155" s="125"/>
      <c r="GP155" s="125"/>
      <c r="GQ155" s="125"/>
      <c r="GR155" s="125"/>
      <c r="GS155" s="125"/>
      <c r="GT155" s="125"/>
      <c r="GU155" s="125"/>
      <c r="GV155" s="125"/>
      <c r="GW155" s="125"/>
      <c r="GX155" s="125"/>
      <c r="GY155" s="125"/>
      <c r="GZ155" s="125"/>
    </row>
    <row r="156" spans="1:208" s="157" customFormat="1" ht="20.25" customHeight="1"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  <c r="AA156" s="125"/>
      <c r="AB156" s="125"/>
      <c r="AC156" s="125"/>
      <c r="AD156" s="125"/>
      <c r="AE156" s="125"/>
      <c r="AF156" s="125"/>
      <c r="AG156" s="125"/>
      <c r="AH156" s="125"/>
      <c r="AI156" s="125"/>
      <c r="AJ156" s="125"/>
      <c r="AK156" s="125"/>
      <c r="AL156" s="125"/>
      <c r="AM156" s="125"/>
      <c r="AN156" s="125"/>
      <c r="AO156" s="125"/>
      <c r="AP156" s="125"/>
      <c r="AQ156" s="125"/>
      <c r="AR156" s="125"/>
      <c r="AS156" s="125"/>
      <c r="AT156" s="125"/>
      <c r="AU156" s="125"/>
      <c r="AV156" s="125"/>
      <c r="AW156" s="125"/>
      <c r="AX156" s="125"/>
      <c r="AY156" s="125"/>
      <c r="AZ156" s="125"/>
      <c r="BA156" s="125"/>
      <c r="BB156" s="125"/>
      <c r="BC156" s="125"/>
      <c r="BD156" s="125"/>
      <c r="BE156" s="125"/>
      <c r="BF156" s="125"/>
      <c r="BG156" s="125"/>
      <c r="BH156" s="125"/>
      <c r="BI156" s="125"/>
      <c r="BJ156" s="125"/>
      <c r="BK156" s="125"/>
      <c r="BL156" s="125"/>
      <c r="BM156" s="125"/>
      <c r="BN156" s="125"/>
      <c r="BO156" s="125"/>
      <c r="BP156" s="125"/>
      <c r="BQ156" s="125"/>
      <c r="BR156" s="125"/>
      <c r="BS156" s="125"/>
      <c r="BT156" s="125"/>
      <c r="BU156" s="125"/>
      <c r="BV156" s="125"/>
      <c r="BW156" s="125"/>
      <c r="BX156" s="125"/>
      <c r="BY156" s="125"/>
      <c r="BZ156" s="125"/>
      <c r="CA156" s="125"/>
      <c r="CB156" s="125"/>
      <c r="CC156" s="125"/>
      <c r="CD156" s="125"/>
      <c r="CE156" s="125"/>
      <c r="CF156" s="125"/>
      <c r="CG156" s="125"/>
      <c r="CH156" s="125"/>
      <c r="CI156" s="125"/>
      <c r="CJ156" s="125"/>
      <c r="CK156" s="125"/>
      <c r="CL156" s="125"/>
      <c r="CM156" s="125"/>
      <c r="CN156" s="125"/>
      <c r="CO156" s="125"/>
      <c r="CP156" s="125"/>
      <c r="CQ156" s="125"/>
      <c r="CR156" s="125"/>
      <c r="CS156" s="125"/>
      <c r="CT156" s="125"/>
      <c r="CU156" s="125"/>
      <c r="CV156" s="125"/>
      <c r="CW156" s="125"/>
      <c r="CX156" s="125"/>
      <c r="CY156" s="125"/>
      <c r="CZ156" s="125"/>
      <c r="DA156" s="125"/>
      <c r="DB156" s="125"/>
      <c r="DC156" s="125"/>
      <c r="DD156" s="125"/>
      <c r="DE156" s="125"/>
      <c r="DF156" s="125"/>
      <c r="DG156" s="125"/>
      <c r="DH156" s="125"/>
      <c r="DI156" s="125"/>
      <c r="DJ156" s="125"/>
      <c r="DK156" s="125"/>
      <c r="DL156" s="125"/>
      <c r="DM156" s="125"/>
      <c r="DN156" s="125"/>
      <c r="DO156" s="125"/>
      <c r="DP156" s="125"/>
      <c r="DQ156" s="125"/>
      <c r="DR156" s="125"/>
      <c r="DS156" s="125"/>
      <c r="DT156" s="125"/>
      <c r="DU156" s="125"/>
      <c r="DV156" s="125"/>
      <c r="DW156" s="125"/>
      <c r="DX156" s="125"/>
      <c r="DY156" s="125"/>
      <c r="DZ156" s="125"/>
      <c r="EA156" s="125"/>
      <c r="EB156" s="125"/>
      <c r="EC156" s="125"/>
      <c r="ED156" s="125"/>
      <c r="EE156" s="125"/>
      <c r="EF156" s="125"/>
      <c r="EG156" s="125"/>
      <c r="EH156" s="125"/>
      <c r="EI156" s="125"/>
      <c r="EJ156" s="125"/>
      <c r="EK156" s="125"/>
      <c r="EL156" s="125"/>
      <c r="EM156" s="125"/>
      <c r="EN156" s="125"/>
      <c r="EO156" s="125"/>
      <c r="EP156" s="125"/>
      <c r="EQ156" s="125"/>
      <c r="ER156" s="125"/>
      <c r="ES156" s="125"/>
      <c r="ET156" s="125"/>
      <c r="EU156" s="125"/>
      <c r="EV156" s="125"/>
      <c r="EW156" s="125"/>
      <c r="EX156" s="125"/>
      <c r="EY156" s="125"/>
      <c r="EZ156" s="125"/>
      <c r="FA156" s="125"/>
      <c r="FB156" s="125"/>
      <c r="FC156" s="125"/>
      <c r="FD156" s="125"/>
      <c r="FE156" s="125"/>
      <c r="FF156" s="125"/>
      <c r="FG156" s="125"/>
      <c r="FH156" s="125"/>
      <c r="FI156" s="125"/>
      <c r="FJ156" s="125"/>
      <c r="FK156" s="125"/>
      <c r="FL156" s="125"/>
      <c r="FM156" s="125"/>
      <c r="FN156" s="125"/>
      <c r="FO156" s="125"/>
      <c r="FP156" s="125"/>
      <c r="FQ156" s="125"/>
      <c r="FR156" s="125"/>
      <c r="FS156" s="125"/>
      <c r="FT156" s="125"/>
      <c r="FU156" s="125"/>
      <c r="FV156" s="125"/>
      <c r="FW156" s="125"/>
      <c r="FX156" s="125"/>
      <c r="FY156" s="125"/>
      <c r="FZ156" s="125"/>
      <c r="GA156" s="125"/>
      <c r="GB156" s="125"/>
      <c r="GC156" s="125"/>
      <c r="GD156" s="125"/>
      <c r="GE156" s="125"/>
      <c r="GF156" s="125"/>
      <c r="GG156" s="125"/>
      <c r="GH156" s="125"/>
      <c r="GI156" s="125"/>
      <c r="GJ156" s="125"/>
      <c r="GK156" s="125"/>
      <c r="GL156" s="125"/>
      <c r="GM156" s="125"/>
      <c r="GN156" s="125"/>
      <c r="GO156" s="125"/>
      <c r="GP156" s="125"/>
      <c r="GQ156" s="125"/>
      <c r="GR156" s="125"/>
      <c r="GS156" s="125"/>
      <c r="GT156" s="125"/>
      <c r="GU156" s="125"/>
      <c r="GV156" s="125"/>
      <c r="GW156" s="125"/>
      <c r="GX156" s="125"/>
      <c r="GY156" s="125"/>
      <c r="GZ156" s="125"/>
    </row>
    <row r="157" spans="1:208" s="157" customFormat="1" ht="20.25" customHeight="1"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  <c r="AD157" s="125"/>
      <c r="AE157" s="125"/>
      <c r="AF157" s="125"/>
      <c r="AG157" s="125"/>
      <c r="AH157" s="125"/>
      <c r="AI157" s="125"/>
      <c r="AJ157" s="125"/>
      <c r="AK157" s="125"/>
      <c r="AL157" s="125"/>
      <c r="AM157" s="125"/>
      <c r="AN157" s="125"/>
      <c r="AO157" s="125"/>
      <c r="AP157" s="125"/>
      <c r="AQ157" s="125"/>
      <c r="AR157" s="125"/>
      <c r="AS157" s="125"/>
      <c r="AT157" s="125"/>
      <c r="AU157" s="125"/>
      <c r="AV157" s="125"/>
      <c r="AW157" s="125"/>
      <c r="AX157" s="125"/>
      <c r="AY157" s="125"/>
      <c r="AZ157" s="125"/>
      <c r="BA157" s="125"/>
      <c r="BB157" s="125"/>
      <c r="BC157" s="125"/>
      <c r="BD157" s="125"/>
      <c r="BE157" s="125"/>
      <c r="BF157" s="125"/>
      <c r="BG157" s="125"/>
      <c r="BH157" s="125"/>
      <c r="BI157" s="125"/>
      <c r="BJ157" s="125"/>
      <c r="BK157" s="125"/>
      <c r="BL157" s="125"/>
      <c r="BM157" s="125"/>
      <c r="BN157" s="125"/>
      <c r="BO157" s="125"/>
      <c r="BP157" s="125"/>
      <c r="BQ157" s="125"/>
      <c r="BR157" s="125"/>
      <c r="BS157" s="125"/>
      <c r="BT157" s="125"/>
      <c r="BU157" s="125"/>
      <c r="BV157" s="125"/>
      <c r="BW157" s="125"/>
      <c r="BX157" s="125"/>
      <c r="BY157" s="125"/>
      <c r="BZ157" s="125"/>
      <c r="CA157" s="125"/>
      <c r="CB157" s="125"/>
      <c r="CC157" s="125"/>
      <c r="CD157" s="125"/>
      <c r="CE157" s="125"/>
      <c r="CF157" s="125"/>
      <c r="CG157" s="125"/>
      <c r="CH157" s="125"/>
      <c r="CI157" s="125"/>
      <c r="CJ157" s="125"/>
      <c r="CK157" s="125"/>
      <c r="CL157" s="125"/>
      <c r="CM157" s="125"/>
      <c r="CN157" s="125"/>
      <c r="CO157" s="125"/>
      <c r="CP157" s="125"/>
      <c r="CQ157" s="125"/>
      <c r="CR157" s="125"/>
      <c r="CS157" s="125"/>
      <c r="CT157" s="125"/>
      <c r="CU157" s="125"/>
      <c r="CV157" s="125"/>
      <c r="CW157" s="125"/>
      <c r="CX157" s="125"/>
      <c r="CY157" s="125"/>
      <c r="CZ157" s="125"/>
      <c r="DA157" s="125"/>
      <c r="DB157" s="125"/>
      <c r="DC157" s="125"/>
      <c r="DD157" s="125"/>
      <c r="DE157" s="125"/>
      <c r="DF157" s="125"/>
      <c r="DG157" s="125"/>
      <c r="DH157" s="125"/>
      <c r="DI157" s="125"/>
      <c r="DJ157" s="125"/>
      <c r="DK157" s="125"/>
      <c r="DL157" s="125"/>
      <c r="DM157" s="125"/>
      <c r="DN157" s="125"/>
      <c r="DO157" s="125"/>
      <c r="DP157" s="125"/>
      <c r="DQ157" s="125"/>
      <c r="DR157" s="125"/>
      <c r="DS157" s="125"/>
      <c r="DT157" s="125"/>
      <c r="DU157" s="125"/>
      <c r="DV157" s="125"/>
      <c r="DW157" s="125"/>
      <c r="DX157" s="125"/>
      <c r="DY157" s="125"/>
      <c r="DZ157" s="125"/>
      <c r="EA157" s="125"/>
      <c r="EB157" s="125"/>
      <c r="EC157" s="125"/>
      <c r="ED157" s="125"/>
      <c r="EE157" s="125"/>
      <c r="EF157" s="125"/>
      <c r="EG157" s="125"/>
      <c r="EH157" s="125"/>
      <c r="EI157" s="125"/>
      <c r="EJ157" s="125"/>
      <c r="EK157" s="125"/>
      <c r="EL157" s="125"/>
      <c r="EM157" s="125"/>
      <c r="EN157" s="125"/>
      <c r="EO157" s="125"/>
      <c r="EP157" s="125"/>
      <c r="EQ157" s="125"/>
      <c r="ER157" s="125"/>
      <c r="ES157" s="125"/>
      <c r="ET157" s="125"/>
      <c r="EU157" s="125"/>
      <c r="EV157" s="125"/>
      <c r="EW157" s="125"/>
      <c r="EX157" s="125"/>
      <c r="EY157" s="125"/>
      <c r="EZ157" s="125"/>
      <c r="FA157" s="125"/>
      <c r="FB157" s="125"/>
      <c r="FC157" s="125"/>
      <c r="FD157" s="125"/>
      <c r="FE157" s="125"/>
      <c r="FF157" s="125"/>
      <c r="FG157" s="125"/>
      <c r="FH157" s="125"/>
      <c r="FI157" s="125"/>
      <c r="FJ157" s="125"/>
      <c r="FK157" s="125"/>
      <c r="FL157" s="125"/>
      <c r="FM157" s="125"/>
      <c r="FN157" s="125"/>
      <c r="FO157" s="125"/>
      <c r="FP157" s="125"/>
      <c r="FQ157" s="125"/>
      <c r="FR157" s="125"/>
      <c r="FS157" s="125"/>
      <c r="FT157" s="125"/>
      <c r="FU157" s="125"/>
      <c r="FV157" s="125"/>
      <c r="FW157" s="125"/>
      <c r="FX157" s="125"/>
      <c r="FY157" s="125"/>
      <c r="FZ157" s="125"/>
      <c r="GA157" s="125"/>
      <c r="GB157" s="125"/>
      <c r="GC157" s="125"/>
      <c r="GD157" s="125"/>
      <c r="GE157" s="125"/>
      <c r="GF157" s="125"/>
      <c r="GG157" s="125"/>
      <c r="GH157" s="125"/>
      <c r="GI157" s="125"/>
      <c r="GJ157" s="125"/>
      <c r="GK157" s="125"/>
      <c r="GL157" s="125"/>
      <c r="GM157" s="125"/>
      <c r="GN157" s="125"/>
      <c r="GO157" s="125"/>
      <c r="GP157" s="125"/>
      <c r="GQ157" s="125"/>
      <c r="GR157" s="125"/>
      <c r="GS157" s="125"/>
      <c r="GT157" s="125"/>
      <c r="GU157" s="125"/>
      <c r="GV157" s="125"/>
      <c r="GW157" s="125"/>
      <c r="GX157" s="125"/>
      <c r="GY157" s="125"/>
      <c r="GZ157" s="125"/>
    </row>
    <row r="158" spans="1:208" s="157" customFormat="1" ht="20.25" customHeight="1"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  <c r="AA158" s="125"/>
      <c r="AB158" s="125"/>
      <c r="AC158" s="125"/>
      <c r="AD158" s="125"/>
      <c r="AE158" s="125"/>
      <c r="AF158" s="125"/>
      <c r="AG158" s="125"/>
      <c r="AH158" s="125"/>
      <c r="AI158" s="125"/>
      <c r="AJ158" s="125"/>
      <c r="AK158" s="125"/>
      <c r="AL158" s="125"/>
      <c r="AM158" s="125"/>
      <c r="AN158" s="125"/>
      <c r="AO158" s="125"/>
      <c r="AP158" s="125"/>
      <c r="AQ158" s="125"/>
      <c r="AR158" s="125"/>
      <c r="AS158" s="125"/>
      <c r="AT158" s="125"/>
      <c r="AU158" s="125"/>
      <c r="AV158" s="125"/>
      <c r="AW158" s="125"/>
      <c r="AX158" s="125"/>
      <c r="AY158" s="125"/>
      <c r="AZ158" s="125"/>
      <c r="BA158" s="125"/>
      <c r="BB158" s="125"/>
      <c r="BC158" s="125"/>
      <c r="BD158" s="125"/>
      <c r="BE158" s="125"/>
      <c r="BF158" s="125"/>
      <c r="BG158" s="125"/>
      <c r="BH158" s="125"/>
      <c r="BI158" s="125"/>
      <c r="BJ158" s="125"/>
      <c r="BK158" s="125"/>
      <c r="BL158" s="125"/>
      <c r="BM158" s="125"/>
      <c r="BN158" s="125"/>
      <c r="BO158" s="125"/>
      <c r="BP158" s="125"/>
      <c r="BQ158" s="125"/>
      <c r="BR158" s="125"/>
      <c r="BS158" s="125"/>
      <c r="BT158" s="125"/>
      <c r="BU158" s="125"/>
      <c r="BV158" s="125"/>
      <c r="BW158" s="125"/>
      <c r="BX158" s="125"/>
      <c r="BY158" s="125"/>
      <c r="BZ158" s="125"/>
      <c r="CA158" s="125"/>
      <c r="CB158" s="125"/>
      <c r="CC158" s="125"/>
      <c r="CD158" s="125"/>
      <c r="CE158" s="125"/>
      <c r="CF158" s="125"/>
      <c r="CG158" s="125"/>
      <c r="CH158" s="125"/>
      <c r="CI158" s="125"/>
      <c r="CJ158" s="125"/>
      <c r="CK158" s="125"/>
      <c r="CL158" s="125"/>
      <c r="CM158" s="125"/>
      <c r="CN158" s="125"/>
      <c r="CO158" s="125"/>
      <c r="CP158" s="125"/>
      <c r="CQ158" s="125"/>
      <c r="CR158" s="125"/>
      <c r="CS158" s="125"/>
      <c r="CT158" s="125"/>
      <c r="CU158" s="125"/>
      <c r="CV158" s="125"/>
      <c r="CW158" s="125"/>
      <c r="CX158" s="125"/>
      <c r="CY158" s="125"/>
      <c r="CZ158" s="125"/>
      <c r="DA158" s="125"/>
      <c r="DB158" s="125"/>
      <c r="DC158" s="125"/>
      <c r="DD158" s="125"/>
      <c r="DE158" s="125"/>
      <c r="DF158" s="125"/>
      <c r="DG158" s="125"/>
      <c r="DH158" s="125"/>
      <c r="DI158" s="125"/>
      <c r="DJ158" s="125"/>
      <c r="DK158" s="125"/>
      <c r="DL158" s="125"/>
      <c r="DM158" s="125"/>
      <c r="DN158" s="125"/>
      <c r="DO158" s="125"/>
      <c r="DP158" s="125"/>
      <c r="DQ158" s="125"/>
      <c r="DR158" s="125"/>
      <c r="DS158" s="125"/>
      <c r="DT158" s="125"/>
      <c r="DU158" s="125"/>
      <c r="DV158" s="125"/>
      <c r="DW158" s="125"/>
      <c r="DX158" s="125"/>
      <c r="DY158" s="125"/>
      <c r="DZ158" s="125"/>
      <c r="EA158" s="125"/>
      <c r="EB158" s="125"/>
      <c r="EC158" s="125"/>
      <c r="ED158" s="125"/>
      <c r="EE158" s="125"/>
      <c r="EF158" s="125"/>
      <c r="EG158" s="125"/>
      <c r="EH158" s="125"/>
      <c r="EI158" s="125"/>
      <c r="EJ158" s="125"/>
      <c r="EK158" s="125"/>
      <c r="EL158" s="125"/>
      <c r="EM158" s="125"/>
      <c r="EN158" s="125"/>
      <c r="EO158" s="125"/>
      <c r="EP158" s="125"/>
      <c r="EQ158" s="125"/>
      <c r="ER158" s="125"/>
      <c r="ES158" s="125"/>
      <c r="ET158" s="125"/>
      <c r="EU158" s="125"/>
      <c r="EV158" s="125"/>
      <c r="EW158" s="125"/>
      <c r="EX158" s="125"/>
      <c r="EY158" s="125"/>
      <c r="EZ158" s="125"/>
      <c r="FA158" s="125"/>
      <c r="FB158" s="125"/>
      <c r="FC158" s="125"/>
      <c r="FD158" s="125"/>
      <c r="FE158" s="125"/>
      <c r="FF158" s="125"/>
      <c r="FG158" s="125"/>
      <c r="FH158" s="125"/>
      <c r="FI158" s="125"/>
      <c r="FJ158" s="125"/>
      <c r="FK158" s="125"/>
      <c r="FL158" s="125"/>
      <c r="FM158" s="125"/>
      <c r="FN158" s="125"/>
      <c r="FO158" s="125"/>
      <c r="FP158" s="125"/>
      <c r="FQ158" s="125"/>
      <c r="FR158" s="125"/>
      <c r="FS158" s="125"/>
      <c r="FT158" s="125"/>
      <c r="FU158" s="125"/>
      <c r="FV158" s="125"/>
      <c r="FW158" s="125"/>
      <c r="FX158" s="125"/>
      <c r="FY158" s="125"/>
      <c r="FZ158" s="125"/>
      <c r="GA158" s="125"/>
      <c r="GB158" s="125"/>
      <c r="GC158" s="125"/>
      <c r="GD158" s="125"/>
      <c r="GE158" s="125"/>
      <c r="GF158" s="125"/>
      <c r="GG158" s="125"/>
      <c r="GH158" s="125"/>
      <c r="GI158" s="125"/>
      <c r="GJ158" s="125"/>
      <c r="GK158" s="125"/>
      <c r="GL158" s="125"/>
      <c r="GM158" s="125"/>
      <c r="GN158" s="125"/>
      <c r="GO158" s="125"/>
      <c r="GP158" s="125"/>
      <c r="GQ158" s="125"/>
      <c r="GR158" s="125"/>
      <c r="GS158" s="125"/>
      <c r="GT158" s="125"/>
      <c r="GU158" s="125"/>
      <c r="GV158" s="125"/>
      <c r="GW158" s="125"/>
      <c r="GX158" s="125"/>
      <c r="GY158" s="125"/>
      <c r="GZ158" s="125"/>
    </row>
    <row r="159" spans="1:208" s="157" customFormat="1" ht="20.25" customHeight="1"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  <c r="AA159" s="125"/>
      <c r="AB159" s="125"/>
      <c r="AC159" s="125"/>
      <c r="AD159" s="125"/>
      <c r="AE159" s="125"/>
      <c r="AF159" s="125"/>
      <c r="AG159" s="125"/>
      <c r="AH159" s="125"/>
      <c r="AI159" s="125"/>
      <c r="AJ159" s="125"/>
      <c r="AK159" s="125"/>
      <c r="AL159" s="125"/>
      <c r="AM159" s="125"/>
      <c r="AN159" s="125"/>
      <c r="AO159" s="125"/>
      <c r="AP159" s="125"/>
      <c r="AQ159" s="125"/>
      <c r="AR159" s="125"/>
      <c r="AS159" s="125"/>
      <c r="AT159" s="125"/>
      <c r="AU159" s="125"/>
      <c r="AV159" s="125"/>
      <c r="AW159" s="125"/>
      <c r="AX159" s="125"/>
      <c r="AY159" s="125"/>
      <c r="AZ159" s="125"/>
      <c r="BA159" s="125"/>
      <c r="BB159" s="125"/>
      <c r="BC159" s="125"/>
      <c r="BD159" s="125"/>
      <c r="BE159" s="125"/>
      <c r="BF159" s="125"/>
      <c r="BG159" s="125"/>
      <c r="BH159" s="125"/>
      <c r="BI159" s="125"/>
      <c r="BJ159" s="125"/>
      <c r="BK159" s="125"/>
      <c r="BL159" s="125"/>
      <c r="BM159" s="125"/>
      <c r="BN159" s="125"/>
      <c r="BO159" s="125"/>
      <c r="BP159" s="125"/>
      <c r="BQ159" s="125"/>
      <c r="BR159" s="125"/>
      <c r="BS159" s="125"/>
      <c r="BT159" s="125"/>
      <c r="BU159" s="125"/>
      <c r="BV159" s="125"/>
      <c r="BW159" s="125"/>
      <c r="BX159" s="125"/>
      <c r="BY159" s="125"/>
      <c r="BZ159" s="125"/>
      <c r="CA159" s="125"/>
      <c r="CB159" s="125"/>
      <c r="CC159" s="125"/>
      <c r="CD159" s="125"/>
      <c r="CE159" s="125"/>
      <c r="CF159" s="125"/>
      <c r="CG159" s="125"/>
      <c r="CH159" s="125"/>
      <c r="CI159" s="125"/>
      <c r="CJ159" s="125"/>
      <c r="CK159" s="125"/>
      <c r="CL159" s="125"/>
      <c r="CM159" s="125"/>
      <c r="CN159" s="125"/>
      <c r="CO159" s="125"/>
      <c r="CP159" s="125"/>
      <c r="CQ159" s="125"/>
      <c r="CR159" s="125"/>
      <c r="CS159" s="125"/>
      <c r="CT159" s="125"/>
      <c r="CU159" s="125"/>
      <c r="CV159" s="125"/>
      <c r="CW159" s="125"/>
      <c r="CX159" s="125"/>
      <c r="CY159" s="125"/>
      <c r="CZ159" s="125"/>
      <c r="DA159" s="125"/>
      <c r="DB159" s="125"/>
      <c r="DC159" s="125"/>
      <c r="DD159" s="125"/>
      <c r="DE159" s="125"/>
      <c r="DF159" s="125"/>
      <c r="DG159" s="125"/>
      <c r="DH159" s="125"/>
      <c r="DI159" s="125"/>
      <c r="DJ159" s="125"/>
      <c r="DK159" s="125"/>
      <c r="DL159" s="125"/>
      <c r="DM159" s="125"/>
      <c r="DN159" s="125"/>
      <c r="DO159" s="125"/>
      <c r="DP159" s="125"/>
      <c r="DQ159" s="125"/>
      <c r="DR159" s="125"/>
      <c r="DS159" s="125"/>
      <c r="DT159" s="125"/>
      <c r="DU159" s="125"/>
      <c r="DV159" s="125"/>
      <c r="DW159" s="125"/>
      <c r="DX159" s="125"/>
      <c r="DY159" s="125"/>
      <c r="DZ159" s="125"/>
      <c r="EA159" s="125"/>
      <c r="EB159" s="125"/>
      <c r="EC159" s="125"/>
      <c r="ED159" s="125"/>
      <c r="EE159" s="125"/>
      <c r="EF159" s="125"/>
      <c r="EG159" s="125"/>
      <c r="EH159" s="125"/>
      <c r="EI159" s="125"/>
      <c r="EJ159" s="125"/>
      <c r="EK159" s="125"/>
      <c r="EL159" s="125"/>
      <c r="EM159" s="125"/>
      <c r="EN159" s="125"/>
      <c r="EO159" s="125"/>
      <c r="EP159" s="125"/>
      <c r="EQ159" s="125"/>
      <c r="ER159" s="125"/>
      <c r="ES159" s="125"/>
      <c r="ET159" s="125"/>
      <c r="EU159" s="125"/>
      <c r="EV159" s="125"/>
      <c r="EW159" s="125"/>
      <c r="EX159" s="125"/>
      <c r="EY159" s="125"/>
      <c r="EZ159" s="125"/>
      <c r="FA159" s="125"/>
      <c r="FB159" s="125"/>
      <c r="FC159" s="125"/>
      <c r="FD159" s="125"/>
      <c r="FE159" s="125"/>
      <c r="FF159" s="125"/>
      <c r="FG159" s="125"/>
      <c r="FH159" s="125"/>
      <c r="FI159" s="125"/>
      <c r="FJ159" s="125"/>
      <c r="FK159" s="125"/>
      <c r="FL159" s="125"/>
      <c r="FM159" s="125"/>
      <c r="FN159" s="125"/>
      <c r="FO159" s="125"/>
      <c r="FP159" s="125"/>
      <c r="FQ159" s="125"/>
      <c r="FR159" s="125"/>
      <c r="FS159" s="125"/>
      <c r="FT159" s="125"/>
      <c r="FU159" s="125"/>
      <c r="FV159" s="125"/>
      <c r="FW159" s="125"/>
      <c r="FX159" s="125"/>
      <c r="FY159" s="125"/>
      <c r="FZ159" s="125"/>
      <c r="GA159" s="125"/>
      <c r="GB159" s="125"/>
      <c r="GC159" s="125"/>
      <c r="GD159" s="125"/>
      <c r="GE159" s="125"/>
      <c r="GF159" s="125"/>
      <c r="GG159" s="125"/>
      <c r="GH159" s="125"/>
      <c r="GI159" s="125"/>
      <c r="GJ159" s="125"/>
      <c r="GK159" s="125"/>
      <c r="GL159" s="125"/>
      <c r="GM159" s="125"/>
      <c r="GN159" s="125"/>
      <c r="GO159" s="125"/>
      <c r="GP159" s="125"/>
      <c r="GQ159" s="125"/>
      <c r="GR159" s="125"/>
      <c r="GS159" s="125"/>
      <c r="GT159" s="125"/>
      <c r="GU159" s="125"/>
      <c r="GV159" s="125"/>
      <c r="GW159" s="125"/>
      <c r="GX159" s="125"/>
      <c r="GY159" s="125"/>
      <c r="GZ159" s="125"/>
    </row>
    <row r="160" spans="1:208" s="157" customFormat="1" ht="20.25" customHeight="1">
      <c r="B160" s="125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F160" s="125"/>
      <c r="AG160" s="125"/>
      <c r="AH160" s="125"/>
      <c r="AI160" s="125"/>
      <c r="AJ160" s="125"/>
      <c r="AK160" s="125"/>
      <c r="AL160" s="125"/>
      <c r="AM160" s="125"/>
      <c r="AN160" s="125"/>
      <c r="AO160" s="125"/>
      <c r="AP160" s="125"/>
      <c r="AQ160" s="125"/>
      <c r="AR160" s="125"/>
      <c r="AS160" s="125"/>
      <c r="AT160" s="125"/>
      <c r="AU160" s="125"/>
      <c r="AV160" s="125"/>
      <c r="AW160" s="125"/>
      <c r="AX160" s="125"/>
      <c r="AY160" s="125"/>
      <c r="AZ160" s="125"/>
      <c r="BA160" s="125"/>
      <c r="BB160" s="125"/>
      <c r="BC160" s="125"/>
      <c r="BD160" s="125"/>
      <c r="BE160" s="125"/>
      <c r="BF160" s="125"/>
      <c r="BG160" s="125"/>
      <c r="BH160" s="125"/>
      <c r="BI160" s="125"/>
      <c r="BJ160" s="125"/>
      <c r="BK160" s="125"/>
      <c r="BL160" s="125"/>
      <c r="BM160" s="125"/>
      <c r="BN160" s="125"/>
      <c r="BO160" s="125"/>
      <c r="BP160" s="125"/>
      <c r="BQ160" s="125"/>
      <c r="BR160" s="125"/>
      <c r="BS160" s="125"/>
      <c r="BT160" s="125"/>
      <c r="BU160" s="125"/>
      <c r="BV160" s="125"/>
      <c r="BW160" s="125"/>
      <c r="BX160" s="125"/>
      <c r="BY160" s="125"/>
      <c r="BZ160" s="125"/>
      <c r="CA160" s="125"/>
      <c r="CB160" s="125"/>
      <c r="CC160" s="125"/>
      <c r="CD160" s="125"/>
      <c r="CE160" s="125"/>
      <c r="CF160" s="125"/>
      <c r="CG160" s="125"/>
      <c r="CH160" s="125"/>
      <c r="CI160" s="125"/>
      <c r="CJ160" s="125"/>
      <c r="CK160" s="125"/>
      <c r="CL160" s="125"/>
      <c r="CM160" s="125"/>
      <c r="CN160" s="125"/>
      <c r="CO160" s="125"/>
      <c r="CP160" s="125"/>
      <c r="CQ160" s="125"/>
      <c r="CR160" s="125"/>
      <c r="CS160" s="125"/>
      <c r="CT160" s="125"/>
      <c r="CU160" s="125"/>
      <c r="CV160" s="125"/>
      <c r="CW160" s="125"/>
      <c r="CX160" s="125"/>
      <c r="CY160" s="125"/>
      <c r="CZ160" s="125"/>
      <c r="DA160" s="125"/>
      <c r="DB160" s="125"/>
      <c r="DC160" s="125"/>
      <c r="DD160" s="125"/>
      <c r="DE160" s="125"/>
      <c r="DF160" s="125"/>
      <c r="DG160" s="125"/>
      <c r="DH160" s="125"/>
      <c r="DI160" s="125"/>
      <c r="DJ160" s="125"/>
      <c r="DK160" s="125"/>
      <c r="DL160" s="125"/>
      <c r="DM160" s="125"/>
      <c r="DN160" s="125"/>
      <c r="DO160" s="125"/>
      <c r="DP160" s="125"/>
      <c r="DQ160" s="125"/>
      <c r="DR160" s="125"/>
      <c r="DS160" s="125"/>
      <c r="DT160" s="125"/>
      <c r="DU160" s="125"/>
      <c r="DV160" s="125"/>
      <c r="DW160" s="125"/>
      <c r="DX160" s="125"/>
      <c r="DY160" s="125"/>
      <c r="DZ160" s="125"/>
      <c r="EA160" s="125"/>
      <c r="EB160" s="125"/>
      <c r="EC160" s="125"/>
      <c r="ED160" s="125"/>
      <c r="EE160" s="125"/>
      <c r="EF160" s="125"/>
      <c r="EG160" s="125"/>
      <c r="EH160" s="125"/>
      <c r="EI160" s="125"/>
      <c r="EJ160" s="125"/>
      <c r="EK160" s="125"/>
      <c r="EL160" s="125"/>
      <c r="EM160" s="125"/>
      <c r="EN160" s="125"/>
      <c r="EO160" s="125"/>
      <c r="EP160" s="125"/>
      <c r="EQ160" s="125"/>
      <c r="ER160" s="125"/>
      <c r="ES160" s="125"/>
      <c r="ET160" s="125"/>
      <c r="EU160" s="125"/>
      <c r="EV160" s="125"/>
      <c r="EW160" s="125"/>
      <c r="EX160" s="125"/>
      <c r="EY160" s="125"/>
      <c r="EZ160" s="125"/>
      <c r="FA160" s="125"/>
      <c r="FB160" s="125"/>
      <c r="FC160" s="125"/>
      <c r="FD160" s="125"/>
      <c r="FE160" s="125"/>
      <c r="FF160" s="125"/>
      <c r="FG160" s="125"/>
      <c r="FH160" s="125"/>
      <c r="FI160" s="125"/>
      <c r="FJ160" s="125"/>
      <c r="FK160" s="125"/>
      <c r="FL160" s="125"/>
      <c r="FM160" s="125"/>
      <c r="FN160" s="125"/>
      <c r="FO160" s="125"/>
      <c r="FP160" s="125"/>
      <c r="FQ160" s="125"/>
      <c r="FR160" s="125"/>
      <c r="FS160" s="125"/>
      <c r="FT160" s="125"/>
      <c r="FU160" s="125"/>
      <c r="FV160" s="125"/>
      <c r="FW160" s="125"/>
      <c r="FX160" s="125"/>
      <c r="FY160" s="125"/>
      <c r="FZ160" s="125"/>
      <c r="GA160" s="125"/>
      <c r="GB160" s="125"/>
      <c r="GC160" s="125"/>
      <c r="GD160" s="125"/>
      <c r="GE160" s="125"/>
      <c r="GF160" s="125"/>
      <c r="GG160" s="125"/>
      <c r="GH160" s="125"/>
      <c r="GI160" s="125"/>
      <c r="GJ160" s="125"/>
      <c r="GK160" s="125"/>
      <c r="GL160" s="125"/>
      <c r="GM160" s="125"/>
      <c r="GN160" s="125"/>
      <c r="GO160" s="125"/>
      <c r="GP160" s="125"/>
      <c r="GQ160" s="125"/>
      <c r="GR160" s="125"/>
      <c r="GS160" s="125"/>
      <c r="GT160" s="125"/>
      <c r="GU160" s="125"/>
      <c r="GV160" s="125"/>
      <c r="GW160" s="125"/>
      <c r="GX160" s="125"/>
      <c r="GY160" s="125"/>
      <c r="GZ160" s="125"/>
    </row>
    <row r="161" spans="1:208" s="157" customFormat="1" ht="20.25" customHeight="1">
      <c r="B161" s="125"/>
      <c r="C161" s="125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  <c r="AA161" s="125"/>
      <c r="AB161" s="125"/>
      <c r="AC161" s="125"/>
      <c r="AD161" s="125"/>
      <c r="AE161" s="125"/>
      <c r="AF161" s="125"/>
      <c r="AG161" s="125"/>
      <c r="AH161" s="125"/>
      <c r="AI161" s="125"/>
      <c r="AJ161" s="125"/>
      <c r="AK161" s="125"/>
      <c r="AL161" s="125"/>
      <c r="AM161" s="125"/>
      <c r="AN161" s="125"/>
      <c r="AO161" s="125"/>
      <c r="AP161" s="125"/>
      <c r="AQ161" s="125"/>
      <c r="AR161" s="125"/>
      <c r="AS161" s="125"/>
      <c r="AT161" s="125"/>
      <c r="AU161" s="125"/>
      <c r="AV161" s="125"/>
      <c r="AW161" s="125"/>
      <c r="AX161" s="125"/>
      <c r="AY161" s="125"/>
      <c r="AZ161" s="125"/>
      <c r="BA161" s="125"/>
      <c r="BB161" s="125"/>
      <c r="BC161" s="125"/>
      <c r="BD161" s="125"/>
      <c r="BE161" s="125"/>
      <c r="BF161" s="125"/>
      <c r="BG161" s="125"/>
      <c r="BH161" s="125"/>
      <c r="BI161" s="125"/>
      <c r="BJ161" s="125"/>
      <c r="BK161" s="125"/>
      <c r="BL161" s="125"/>
      <c r="BM161" s="125"/>
      <c r="BN161" s="125"/>
      <c r="BO161" s="125"/>
      <c r="BP161" s="125"/>
      <c r="BQ161" s="125"/>
      <c r="BR161" s="125"/>
      <c r="BS161" s="125"/>
      <c r="BT161" s="125"/>
      <c r="BU161" s="125"/>
      <c r="BV161" s="125"/>
      <c r="BW161" s="125"/>
      <c r="BX161" s="125"/>
      <c r="BY161" s="125"/>
      <c r="BZ161" s="125"/>
      <c r="CA161" s="125"/>
      <c r="CB161" s="125"/>
      <c r="CC161" s="125"/>
      <c r="CD161" s="125"/>
      <c r="CE161" s="125"/>
      <c r="CF161" s="125"/>
      <c r="CG161" s="125"/>
      <c r="CH161" s="125"/>
      <c r="CI161" s="125"/>
      <c r="CJ161" s="125"/>
      <c r="CK161" s="125"/>
      <c r="CL161" s="125"/>
      <c r="CM161" s="125"/>
      <c r="CN161" s="125"/>
      <c r="CO161" s="125"/>
      <c r="CP161" s="125"/>
      <c r="CQ161" s="125"/>
      <c r="CR161" s="125"/>
      <c r="CS161" s="125"/>
      <c r="CT161" s="125"/>
      <c r="CU161" s="125"/>
      <c r="CV161" s="125"/>
      <c r="CW161" s="125"/>
      <c r="CX161" s="125"/>
      <c r="CY161" s="125"/>
      <c r="CZ161" s="125"/>
      <c r="DA161" s="125"/>
      <c r="DB161" s="125"/>
      <c r="DC161" s="125"/>
      <c r="DD161" s="125"/>
      <c r="DE161" s="125"/>
      <c r="DF161" s="125"/>
      <c r="DG161" s="125"/>
      <c r="DH161" s="125"/>
      <c r="DI161" s="125"/>
      <c r="DJ161" s="125"/>
      <c r="DK161" s="125"/>
      <c r="DL161" s="125"/>
      <c r="DM161" s="125"/>
      <c r="DN161" s="125"/>
      <c r="DO161" s="125"/>
      <c r="DP161" s="125"/>
      <c r="DQ161" s="125"/>
      <c r="DR161" s="125"/>
      <c r="DS161" s="125"/>
      <c r="DT161" s="125"/>
      <c r="DU161" s="125"/>
      <c r="DV161" s="125"/>
      <c r="DW161" s="125"/>
      <c r="DX161" s="125"/>
      <c r="DY161" s="125"/>
      <c r="DZ161" s="125"/>
      <c r="EA161" s="125"/>
      <c r="EB161" s="125"/>
      <c r="EC161" s="125"/>
      <c r="ED161" s="125"/>
      <c r="EE161" s="125"/>
      <c r="EF161" s="125"/>
      <c r="EG161" s="125"/>
      <c r="EH161" s="125"/>
      <c r="EI161" s="125"/>
      <c r="EJ161" s="125"/>
      <c r="EK161" s="125"/>
      <c r="EL161" s="125"/>
      <c r="EM161" s="125"/>
      <c r="EN161" s="125"/>
      <c r="EO161" s="125"/>
      <c r="EP161" s="125"/>
      <c r="EQ161" s="125"/>
      <c r="ER161" s="125"/>
      <c r="ES161" s="125"/>
      <c r="ET161" s="125"/>
      <c r="EU161" s="125"/>
      <c r="EV161" s="125"/>
      <c r="EW161" s="125"/>
      <c r="EX161" s="125"/>
      <c r="EY161" s="125"/>
      <c r="EZ161" s="125"/>
      <c r="FA161" s="125"/>
      <c r="FB161" s="125"/>
      <c r="FC161" s="125"/>
      <c r="FD161" s="125"/>
      <c r="FE161" s="125"/>
      <c r="FF161" s="125"/>
      <c r="FG161" s="125"/>
      <c r="FH161" s="125"/>
      <c r="FI161" s="125"/>
      <c r="FJ161" s="125"/>
      <c r="FK161" s="125"/>
      <c r="FL161" s="125"/>
      <c r="FM161" s="125"/>
      <c r="FN161" s="125"/>
      <c r="FO161" s="125"/>
      <c r="FP161" s="125"/>
      <c r="FQ161" s="125"/>
      <c r="FR161" s="125"/>
      <c r="FS161" s="125"/>
      <c r="FT161" s="125"/>
      <c r="FU161" s="125"/>
      <c r="FV161" s="125"/>
      <c r="FW161" s="125"/>
      <c r="FX161" s="125"/>
      <c r="FY161" s="125"/>
      <c r="FZ161" s="125"/>
      <c r="GA161" s="125"/>
      <c r="GB161" s="125"/>
      <c r="GC161" s="125"/>
      <c r="GD161" s="125"/>
      <c r="GE161" s="125"/>
      <c r="GF161" s="125"/>
      <c r="GG161" s="125"/>
      <c r="GH161" s="125"/>
      <c r="GI161" s="125"/>
      <c r="GJ161" s="125"/>
      <c r="GK161" s="125"/>
      <c r="GL161" s="125"/>
      <c r="GM161" s="125"/>
      <c r="GN161" s="125"/>
      <c r="GO161" s="125"/>
      <c r="GP161" s="125"/>
      <c r="GQ161" s="125"/>
      <c r="GR161" s="125"/>
      <c r="GS161" s="125"/>
      <c r="GT161" s="125"/>
      <c r="GU161" s="125"/>
      <c r="GV161" s="125"/>
      <c r="GW161" s="125"/>
      <c r="GX161" s="125"/>
      <c r="GY161" s="125"/>
      <c r="GZ161" s="125"/>
    </row>
    <row r="162" spans="1:208" s="157" customFormat="1" ht="20.25" customHeight="1"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5"/>
      <c r="AM162" s="125"/>
      <c r="AN162" s="125"/>
      <c r="AO162" s="125"/>
      <c r="AP162" s="125"/>
      <c r="AQ162" s="125"/>
      <c r="AR162" s="125"/>
      <c r="AS162" s="125"/>
      <c r="AT162" s="125"/>
      <c r="AU162" s="125"/>
      <c r="AV162" s="125"/>
      <c r="AW162" s="125"/>
      <c r="AX162" s="125"/>
      <c r="AY162" s="125"/>
      <c r="AZ162" s="125"/>
      <c r="BA162" s="125"/>
      <c r="BB162" s="125"/>
      <c r="BC162" s="125"/>
      <c r="BD162" s="125"/>
      <c r="BE162" s="125"/>
      <c r="BF162" s="125"/>
      <c r="BG162" s="125"/>
      <c r="BH162" s="125"/>
      <c r="BI162" s="125"/>
      <c r="BJ162" s="125"/>
      <c r="BK162" s="125"/>
      <c r="BL162" s="125"/>
      <c r="BM162" s="125"/>
      <c r="BN162" s="125"/>
      <c r="BO162" s="125"/>
      <c r="BP162" s="125"/>
      <c r="BQ162" s="125"/>
      <c r="BR162" s="125"/>
      <c r="BS162" s="125"/>
      <c r="BT162" s="125"/>
      <c r="BU162" s="125"/>
      <c r="BV162" s="125"/>
      <c r="BW162" s="125"/>
      <c r="BX162" s="125"/>
      <c r="BY162" s="125"/>
      <c r="BZ162" s="125"/>
      <c r="CA162" s="125"/>
      <c r="CB162" s="125"/>
      <c r="CC162" s="125"/>
      <c r="CD162" s="125"/>
      <c r="CE162" s="125"/>
      <c r="CF162" s="125"/>
      <c r="CG162" s="125"/>
      <c r="CH162" s="125"/>
      <c r="CI162" s="125"/>
      <c r="CJ162" s="125"/>
      <c r="CK162" s="125"/>
      <c r="CL162" s="125"/>
      <c r="CM162" s="125"/>
      <c r="CN162" s="125"/>
      <c r="CO162" s="125"/>
      <c r="CP162" s="125"/>
      <c r="CQ162" s="125"/>
      <c r="CR162" s="125"/>
      <c r="CS162" s="125"/>
      <c r="CT162" s="125"/>
      <c r="CU162" s="125"/>
      <c r="CV162" s="125"/>
      <c r="CW162" s="125"/>
      <c r="CX162" s="125"/>
      <c r="CY162" s="125"/>
      <c r="CZ162" s="125"/>
      <c r="DA162" s="125"/>
      <c r="DB162" s="125"/>
      <c r="DC162" s="125"/>
      <c r="DD162" s="125"/>
      <c r="DE162" s="125"/>
      <c r="DF162" s="125"/>
      <c r="DG162" s="125"/>
      <c r="DH162" s="125"/>
      <c r="DI162" s="125"/>
      <c r="DJ162" s="125"/>
      <c r="DK162" s="125"/>
      <c r="DL162" s="125"/>
      <c r="DM162" s="125"/>
      <c r="DN162" s="125"/>
      <c r="DO162" s="125"/>
      <c r="DP162" s="125"/>
      <c r="DQ162" s="125"/>
      <c r="DR162" s="125"/>
      <c r="DS162" s="125"/>
      <c r="DT162" s="125"/>
      <c r="DU162" s="125"/>
      <c r="DV162" s="125"/>
      <c r="DW162" s="125"/>
      <c r="DX162" s="125"/>
      <c r="DY162" s="125"/>
      <c r="DZ162" s="125"/>
      <c r="EA162" s="125"/>
      <c r="EB162" s="125"/>
      <c r="EC162" s="125"/>
      <c r="ED162" s="125"/>
      <c r="EE162" s="125"/>
      <c r="EF162" s="125"/>
      <c r="EG162" s="125"/>
      <c r="EH162" s="125"/>
      <c r="EI162" s="125"/>
      <c r="EJ162" s="125"/>
      <c r="EK162" s="125"/>
      <c r="EL162" s="125"/>
      <c r="EM162" s="125"/>
      <c r="EN162" s="125"/>
      <c r="EO162" s="125"/>
      <c r="EP162" s="125"/>
      <c r="EQ162" s="125"/>
      <c r="ER162" s="125"/>
      <c r="ES162" s="125"/>
      <c r="ET162" s="125"/>
      <c r="EU162" s="125"/>
      <c r="EV162" s="125"/>
      <c r="EW162" s="125"/>
      <c r="EX162" s="125"/>
      <c r="EY162" s="125"/>
      <c r="EZ162" s="125"/>
      <c r="FA162" s="125"/>
      <c r="FB162" s="125"/>
      <c r="FC162" s="125"/>
      <c r="FD162" s="125"/>
      <c r="FE162" s="125"/>
      <c r="FF162" s="125"/>
      <c r="FG162" s="125"/>
      <c r="FH162" s="125"/>
      <c r="FI162" s="125"/>
      <c r="FJ162" s="125"/>
      <c r="FK162" s="125"/>
      <c r="FL162" s="125"/>
      <c r="FM162" s="125"/>
      <c r="FN162" s="125"/>
      <c r="FO162" s="125"/>
      <c r="FP162" s="125"/>
      <c r="FQ162" s="125"/>
      <c r="FR162" s="125"/>
      <c r="FS162" s="125"/>
      <c r="FT162" s="125"/>
      <c r="FU162" s="125"/>
      <c r="FV162" s="125"/>
      <c r="FW162" s="125"/>
      <c r="FX162" s="125"/>
      <c r="FY162" s="125"/>
      <c r="FZ162" s="125"/>
      <c r="GA162" s="125"/>
      <c r="GB162" s="125"/>
      <c r="GC162" s="125"/>
      <c r="GD162" s="125"/>
      <c r="GE162" s="125"/>
      <c r="GF162" s="125"/>
      <c r="GG162" s="125"/>
      <c r="GH162" s="125"/>
      <c r="GI162" s="125"/>
      <c r="GJ162" s="125"/>
      <c r="GK162" s="125"/>
      <c r="GL162" s="125"/>
      <c r="GM162" s="125"/>
      <c r="GN162" s="125"/>
      <c r="GO162" s="125"/>
      <c r="GP162" s="125"/>
      <c r="GQ162" s="125"/>
      <c r="GR162" s="125"/>
      <c r="GS162" s="125"/>
      <c r="GT162" s="125"/>
      <c r="GU162" s="125"/>
      <c r="GV162" s="125"/>
      <c r="GW162" s="125"/>
      <c r="GX162" s="125"/>
      <c r="GY162" s="125"/>
      <c r="GZ162" s="125"/>
    </row>
    <row r="163" spans="1:208" s="157" customFormat="1" ht="20.25" customHeight="1"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  <c r="AG163" s="125"/>
      <c r="AH163" s="125"/>
      <c r="AI163" s="125"/>
      <c r="AJ163" s="125"/>
      <c r="AK163" s="125"/>
      <c r="AL163" s="125"/>
      <c r="AM163" s="125"/>
      <c r="AN163" s="125"/>
      <c r="AO163" s="125"/>
      <c r="AP163" s="125"/>
      <c r="AQ163" s="125"/>
      <c r="AR163" s="125"/>
      <c r="AS163" s="125"/>
      <c r="AT163" s="125"/>
      <c r="AU163" s="125"/>
      <c r="AV163" s="125"/>
      <c r="AW163" s="125"/>
      <c r="AX163" s="125"/>
      <c r="AY163" s="125"/>
      <c r="AZ163" s="125"/>
      <c r="BA163" s="125"/>
      <c r="BB163" s="125"/>
      <c r="BC163" s="125"/>
      <c r="BD163" s="125"/>
      <c r="BE163" s="125"/>
      <c r="BF163" s="125"/>
      <c r="BG163" s="125"/>
      <c r="BH163" s="125"/>
      <c r="BI163" s="125"/>
      <c r="BJ163" s="125"/>
      <c r="BK163" s="125"/>
      <c r="BL163" s="125"/>
      <c r="BM163" s="125"/>
      <c r="BN163" s="125"/>
      <c r="BO163" s="125"/>
      <c r="BP163" s="125"/>
      <c r="BQ163" s="125"/>
      <c r="BR163" s="125"/>
      <c r="BS163" s="125"/>
      <c r="BT163" s="125"/>
      <c r="BU163" s="125"/>
      <c r="BV163" s="125"/>
      <c r="BW163" s="125"/>
      <c r="BX163" s="125"/>
      <c r="BY163" s="125"/>
      <c r="BZ163" s="125"/>
      <c r="CA163" s="125"/>
      <c r="CB163" s="125"/>
      <c r="CC163" s="125"/>
      <c r="CD163" s="125"/>
      <c r="CE163" s="125"/>
      <c r="CF163" s="125"/>
      <c r="CG163" s="125"/>
      <c r="CH163" s="125"/>
      <c r="CI163" s="125"/>
      <c r="CJ163" s="125"/>
      <c r="CK163" s="125"/>
      <c r="CL163" s="125"/>
      <c r="CM163" s="125"/>
      <c r="CN163" s="125"/>
      <c r="CO163" s="125"/>
      <c r="CP163" s="125"/>
      <c r="CQ163" s="125"/>
      <c r="CR163" s="125"/>
      <c r="CS163" s="125"/>
      <c r="CT163" s="125"/>
      <c r="CU163" s="125"/>
      <c r="CV163" s="125"/>
      <c r="CW163" s="125"/>
      <c r="CX163" s="125"/>
      <c r="CY163" s="125"/>
      <c r="CZ163" s="125"/>
      <c r="DA163" s="125"/>
      <c r="DB163" s="125"/>
      <c r="DC163" s="125"/>
      <c r="DD163" s="125"/>
      <c r="DE163" s="125"/>
      <c r="DF163" s="125"/>
      <c r="DG163" s="125"/>
      <c r="DH163" s="125"/>
      <c r="DI163" s="125"/>
      <c r="DJ163" s="125"/>
      <c r="DK163" s="125"/>
      <c r="DL163" s="125"/>
      <c r="DM163" s="125"/>
      <c r="DN163" s="125"/>
      <c r="DO163" s="125"/>
      <c r="DP163" s="125"/>
      <c r="DQ163" s="125"/>
      <c r="DR163" s="125"/>
      <c r="DS163" s="125"/>
      <c r="DT163" s="125"/>
      <c r="DU163" s="125"/>
      <c r="DV163" s="125"/>
      <c r="DW163" s="125"/>
      <c r="DX163" s="125"/>
      <c r="DY163" s="125"/>
      <c r="DZ163" s="125"/>
      <c r="EA163" s="125"/>
      <c r="EB163" s="125"/>
      <c r="EC163" s="125"/>
      <c r="ED163" s="125"/>
      <c r="EE163" s="125"/>
      <c r="EF163" s="125"/>
      <c r="EG163" s="125"/>
      <c r="EH163" s="125"/>
      <c r="EI163" s="125"/>
      <c r="EJ163" s="125"/>
      <c r="EK163" s="125"/>
      <c r="EL163" s="125"/>
      <c r="EM163" s="125"/>
      <c r="EN163" s="125"/>
      <c r="EO163" s="125"/>
      <c r="EP163" s="125"/>
      <c r="EQ163" s="125"/>
      <c r="ER163" s="125"/>
      <c r="ES163" s="125"/>
      <c r="ET163" s="125"/>
      <c r="EU163" s="125"/>
      <c r="EV163" s="125"/>
      <c r="EW163" s="125"/>
      <c r="EX163" s="125"/>
      <c r="EY163" s="125"/>
      <c r="EZ163" s="125"/>
      <c r="FA163" s="125"/>
      <c r="FB163" s="125"/>
      <c r="FC163" s="125"/>
      <c r="FD163" s="125"/>
      <c r="FE163" s="125"/>
      <c r="FF163" s="125"/>
      <c r="FG163" s="125"/>
      <c r="FH163" s="125"/>
      <c r="FI163" s="125"/>
      <c r="FJ163" s="125"/>
      <c r="FK163" s="125"/>
      <c r="FL163" s="125"/>
      <c r="FM163" s="125"/>
      <c r="FN163" s="125"/>
      <c r="FO163" s="125"/>
      <c r="FP163" s="125"/>
      <c r="FQ163" s="125"/>
      <c r="FR163" s="125"/>
      <c r="FS163" s="125"/>
      <c r="FT163" s="125"/>
      <c r="FU163" s="125"/>
      <c r="FV163" s="125"/>
      <c r="FW163" s="125"/>
      <c r="FX163" s="125"/>
      <c r="FY163" s="125"/>
      <c r="FZ163" s="125"/>
      <c r="GA163" s="125"/>
      <c r="GB163" s="125"/>
      <c r="GC163" s="125"/>
      <c r="GD163" s="125"/>
      <c r="GE163" s="125"/>
      <c r="GF163" s="125"/>
      <c r="GG163" s="125"/>
      <c r="GH163" s="125"/>
      <c r="GI163" s="125"/>
      <c r="GJ163" s="125"/>
      <c r="GK163" s="125"/>
      <c r="GL163" s="125"/>
      <c r="GM163" s="125"/>
      <c r="GN163" s="125"/>
      <c r="GO163" s="125"/>
      <c r="GP163" s="125"/>
      <c r="GQ163" s="125"/>
      <c r="GR163" s="125"/>
      <c r="GS163" s="125"/>
      <c r="GT163" s="125"/>
      <c r="GU163" s="125"/>
      <c r="GV163" s="125"/>
      <c r="GW163" s="125"/>
      <c r="GX163" s="125"/>
      <c r="GY163" s="125"/>
      <c r="GZ163" s="125"/>
    </row>
    <row r="164" spans="1:208" s="157" customFormat="1" ht="20.25" customHeight="1"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  <c r="AA164" s="125"/>
      <c r="AB164" s="125"/>
      <c r="AC164" s="125"/>
      <c r="AD164" s="125"/>
      <c r="AE164" s="125"/>
      <c r="AF164" s="125"/>
      <c r="AG164" s="125"/>
      <c r="AH164" s="125"/>
      <c r="AI164" s="125"/>
      <c r="AJ164" s="125"/>
      <c r="AK164" s="125"/>
      <c r="AL164" s="125"/>
      <c r="AM164" s="125"/>
      <c r="AN164" s="125"/>
      <c r="AO164" s="125"/>
      <c r="AP164" s="125"/>
      <c r="AQ164" s="125"/>
      <c r="AR164" s="125"/>
      <c r="AS164" s="125"/>
      <c r="AT164" s="125"/>
      <c r="AU164" s="125"/>
      <c r="AV164" s="125"/>
      <c r="AW164" s="125"/>
      <c r="AX164" s="125"/>
      <c r="AY164" s="125"/>
      <c r="AZ164" s="125"/>
      <c r="BA164" s="125"/>
      <c r="BB164" s="125"/>
      <c r="BC164" s="125"/>
      <c r="BD164" s="125"/>
      <c r="BE164" s="125"/>
      <c r="BF164" s="125"/>
      <c r="BG164" s="125"/>
      <c r="BH164" s="125"/>
      <c r="BI164" s="125"/>
      <c r="BJ164" s="125"/>
      <c r="BK164" s="125"/>
      <c r="BL164" s="125"/>
      <c r="BM164" s="125"/>
      <c r="BN164" s="125"/>
      <c r="BO164" s="125"/>
      <c r="BP164" s="125"/>
      <c r="BQ164" s="125"/>
      <c r="BR164" s="125"/>
      <c r="BS164" s="125"/>
      <c r="BT164" s="125"/>
      <c r="BU164" s="125"/>
      <c r="BV164" s="125"/>
      <c r="BW164" s="125"/>
      <c r="BX164" s="125"/>
      <c r="BY164" s="125"/>
      <c r="BZ164" s="125"/>
      <c r="CA164" s="125"/>
      <c r="CB164" s="125"/>
      <c r="CC164" s="125"/>
      <c r="CD164" s="125"/>
      <c r="CE164" s="125"/>
      <c r="CF164" s="125"/>
      <c r="CG164" s="125"/>
      <c r="CH164" s="125"/>
      <c r="CI164" s="125"/>
      <c r="CJ164" s="125"/>
      <c r="CK164" s="125"/>
      <c r="CL164" s="125"/>
      <c r="CM164" s="125"/>
      <c r="CN164" s="125"/>
      <c r="CO164" s="125"/>
      <c r="CP164" s="125"/>
      <c r="CQ164" s="125"/>
      <c r="CR164" s="125"/>
      <c r="CS164" s="125"/>
      <c r="CT164" s="125"/>
      <c r="CU164" s="125"/>
      <c r="CV164" s="125"/>
      <c r="CW164" s="125"/>
      <c r="CX164" s="125"/>
      <c r="CY164" s="125"/>
      <c r="CZ164" s="125"/>
      <c r="DA164" s="125"/>
      <c r="DB164" s="125"/>
      <c r="DC164" s="125"/>
      <c r="DD164" s="125"/>
      <c r="DE164" s="125"/>
      <c r="DF164" s="125"/>
      <c r="DG164" s="125"/>
      <c r="DH164" s="125"/>
      <c r="DI164" s="125"/>
      <c r="DJ164" s="125"/>
      <c r="DK164" s="125"/>
      <c r="DL164" s="125"/>
      <c r="DM164" s="125"/>
      <c r="DN164" s="125"/>
      <c r="DO164" s="125"/>
      <c r="DP164" s="125"/>
      <c r="DQ164" s="125"/>
      <c r="DR164" s="125"/>
      <c r="DS164" s="125"/>
      <c r="DT164" s="125"/>
      <c r="DU164" s="125"/>
      <c r="DV164" s="125"/>
      <c r="DW164" s="125"/>
      <c r="DX164" s="125"/>
      <c r="DY164" s="125"/>
      <c r="DZ164" s="125"/>
      <c r="EA164" s="125"/>
      <c r="EB164" s="125"/>
      <c r="EC164" s="125"/>
      <c r="ED164" s="125"/>
      <c r="EE164" s="125"/>
      <c r="EF164" s="125"/>
      <c r="EG164" s="125"/>
      <c r="EH164" s="125"/>
      <c r="EI164" s="125"/>
      <c r="EJ164" s="125"/>
      <c r="EK164" s="125"/>
      <c r="EL164" s="125"/>
      <c r="EM164" s="125"/>
      <c r="EN164" s="125"/>
      <c r="EO164" s="125"/>
      <c r="EP164" s="125"/>
      <c r="EQ164" s="125"/>
      <c r="ER164" s="125"/>
      <c r="ES164" s="125"/>
      <c r="ET164" s="125"/>
      <c r="EU164" s="125"/>
      <c r="EV164" s="125"/>
      <c r="EW164" s="125"/>
      <c r="EX164" s="125"/>
      <c r="EY164" s="125"/>
      <c r="EZ164" s="125"/>
      <c r="FA164" s="125"/>
      <c r="FB164" s="125"/>
      <c r="FC164" s="125"/>
      <c r="FD164" s="125"/>
      <c r="FE164" s="125"/>
      <c r="FF164" s="125"/>
      <c r="FG164" s="125"/>
      <c r="FH164" s="125"/>
      <c r="FI164" s="125"/>
      <c r="FJ164" s="125"/>
      <c r="FK164" s="125"/>
      <c r="FL164" s="125"/>
      <c r="FM164" s="125"/>
      <c r="FN164" s="125"/>
      <c r="FO164" s="125"/>
      <c r="FP164" s="125"/>
      <c r="FQ164" s="125"/>
      <c r="FR164" s="125"/>
      <c r="FS164" s="125"/>
      <c r="FT164" s="125"/>
      <c r="FU164" s="125"/>
      <c r="FV164" s="125"/>
      <c r="FW164" s="125"/>
      <c r="FX164" s="125"/>
      <c r="FY164" s="125"/>
      <c r="FZ164" s="125"/>
      <c r="GA164" s="125"/>
      <c r="GB164" s="125"/>
      <c r="GC164" s="125"/>
      <c r="GD164" s="125"/>
      <c r="GE164" s="125"/>
      <c r="GF164" s="125"/>
      <c r="GG164" s="125"/>
      <c r="GH164" s="125"/>
      <c r="GI164" s="125"/>
      <c r="GJ164" s="125"/>
      <c r="GK164" s="125"/>
      <c r="GL164" s="125"/>
      <c r="GM164" s="125"/>
      <c r="GN164" s="125"/>
      <c r="GO164" s="125"/>
      <c r="GP164" s="125"/>
      <c r="GQ164" s="125"/>
      <c r="GR164" s="125"/>
      <c r="GS164" s="125"/>
      <c r="GT164" s="125"/>
      <c r="GU164" s="125"/>
      <c r="GV164" s="125"/>
      <c r="GW164" s="125"/>
      <c r="GX164" s="125"/>
      <c r="GY164" s="125"/>
      <c r="GZ164" s="125"/>
    </row>
    <row r="165" spans="1:208" s="157" customFormat="1" ht="20.25" customHeight="1"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  <c r="AA165" s="125"/>
      <c r="AB165" s="125"/>
      <c r="AC165" s="125"/>
      <c r="AD165" s="125"/>
      <c r="AE165" s="125"/>
      <c r="AF165" s="125"/>
      <c r="AG165" s="125"/>
      <c r="AH165" s="125"/>
      <c r="AI165" s="125"/>
      <c r="AJ165" s="125"/>
      <c r="AK165" s="125"/>
      <c r="AL165" s="125"/>
      <c r="AM165" s="125"/>
      <c r="AN165" s="125"/>
      <c r="AO165" s="125"/>
      <c r="AP165" s="125"/>
      <c r="AQ165" s="125"/>
      <c r="AR165" s="125"/>
      <c r="AS165" s="125"/>
      <c r="AT165" s="125"/>
      <c r="AU165" s="125"/>
      <c r="AV165" s="125"/>
      <c r="AW165" s="125"/>
      <c r="AX165" s="125"/>
      <c r="AY165" s="125"/>
      <c r="AZ165" s="125"/>
      <c r="BA165" s="125"/>
      <c r="BB165" s="125"/>
      <c r="BC165" s="125"/>
      <c r="BD165" s="125"/>
      <c r="BE165" s="125"/>
      <c r="BF165" s="125"/>
      <c r="BG165" s="125"/>
      <c r="BH165" s="125"/>
      <c r="BI165" s="125"/>
      <c r="BJ165" s="125"/>
      <c r="BK165" s="125"/>
      <c r="BL165" s="125"/>
      <c r="BM165" s="125"/>
      <c r="BN165" s="125"/>
      <c r="BO165" s="125"/>
      <c r="BP165" s="125"/>
      <c r="BQ165" s="125"/>
      <c r="BR165" s="125"/>
      <c r="BS165" s="125"/>
      <c r="BT165" s="125"/>
      <c r="BU165" s="125"/>
      <c r="BV165" s="125"/>
      <c r="BW165" s="125"/>
      <c r="BX165" s="125"/>
      <c r="BY165" s="125"/>
      <c r="BZ165" s="125"/>
      <c r="CA165" s="125"/>
      <c r="CB165" s="125"/>
      <c r="CC165" s="125"/>
      <c r="CD165" s="125"/>
      <c r="CE165" s="125"/>
      <c r="CF165" s="125"/>
      <c r="CG165" s="125"/>
      <c r="CH165" s="125"/>
      <c r="CI165" s="125"/>
      <c r="CJ165" s="125"/>
      <c r="CK165" s="125"/>
      <c r="CL165" s="125"/>
      <c r="CM165" s="125"/>
      <c r="CN165" s="125"/>
      <c r="CO165" s="125"/>
      <c r="CP165" s="125"/>
      <c r="CQ165" s="125"/>
      <c r="CR165" s="125"/>
      <c r="CS165" s="125"/>
      <c r="CT165" s="125"/>
      <c r="CU165" s="125"/>
      <c r="CV165" s="125"/>
      <c r="CW165" s="125"/>
      <c r="CX165" s="125"/>
      <c r="CY165" s="125"/>
      <c r="CZ165" s="125"/>
      <c r="DA165" s="125"/>
      <c r="DB165" s="125"/>
      <c r="DC165" s="125"/>
      <c r="DD165" s="125"/>
      <c r="DE165" s="125"/>
      <c r="DF165" s="125"/>
      <c r="DG165" s="125"/>
      <c r="DH165" s="125"/>
      <c r="DI165" s="125"/>
      <c r="DJ165" s="125"/>
      <c r="DK165" s="125"/>
      <c r="DL165" s="125"/>
      <c r="DM165" s="125"/>
      <c r="DN165" s="125"/>
      <c r="DO165" s="125"/>
      <c r="DP165" s="125"/>
      <c r="DQ165" s="125"/>
      <c r="DR165" s="125"/>
      <c r="DS165" s="125"/>
      <c r="DT165" s="125"/>
      <c r="DU165" s="125"/>
      <c r="DV165" s="125"/>
      <c r="DW165" s="125"/>
      <c r="DX165" s="125"/>
      <c r="DY165" s="125"/>
      <c r="DZ165" s="125"/>
      <c r="EA165" s="125"/>
      <c r="EB165" s="125"/>
      <c r="EC165" s="125"/>
      <c r="ED165" s="125"/>
      <c r="EE165" s="125"/>
      <c r="EF165" s="125"/>
      <c r="EG165" s="125"/>
      <c r="EH165" s="125"/>
      <c r="EI165" s="125"/>
      <c r="EJ165" s="125"/>
      <c r="EK165" s="125"/>
      <c r="EL165" s="125"/>
      <c r="EM165" s="125"/>
      <c r="EN165" s="125"/>
      <c r="EO165" s="125"/>
      <c r="EP165" s="125"/>
      <c r="EQ165" s="125"/>
      <c r="ER165" s="125"/>
      <c r="ES165" s="125"/>
      <c r="ET165" s="125"/>
      <c r="EU165" s="125"/>
      <c r="EV165" s="125"/>
      <c r="EW165" s="125"/>
      <c r="EX165" s="125"/>
      <c r="EY165" s="125"/>
      <c r="EZ165" s="125"/>
      <c r="FA165" s="125"/>
      <c r="FB165" s="125"/>
      <c r="FC165" s="125"/>
      <c r="FD165" s="125"/>
      <c r="FE165" s="125"/>
      <c r="FF165" s="125"/>
      <c r="FG165" s="125"/>
      <c r="FH165" s="125"/>
      <c r="FI165" s="125"/>
      <c r="FJ165" s="125"/>
      <c r="FK165" s="125"/>
      <c r="FL165" s="125"/>
      <c r="FM165" s="125"/>
      <c r="FN165" s="125"/>
      <c r="FO165" s="125"/>
      <c r="FP165" s="125"/>
      <c r="FQ165" s="125"/>
      <c r="FR165" s="125"/>
      <c r="FS165" s="125"/>
      <c r="FT165" s="125"/>
      <c r="FU165" s="125"/>
      <c r="FV165" s="125"/>
      <c r="FW165" s="125"/>
      <c r="FX165" s="125"/>
      <c r="FY165" s="125"/>
      <c r="FZ165" s="125"/>
      <c r="GA165" s="125"/>
      <c r="GB165" s="125"/>
      <c r="GC165" s="125"/>
      <c r="GD165" s="125"/>
      <c r="GE165" s="125"/>
      <c r="GF165" s="125"/>
      <c r="GG165" s="125"/>
      <c r="GH165" s="125"/>
      <c r="GI165" s="125"/>
      <c r="GJ165" s="125"/>
      <c r="GK165" s="125"/>
      <c r="GL165" s="125"/>
      <c r="GM165" s="125"/>
      <c r="GN165" s="125"/>
      <c r="GO165" s="125"/>
      <c r="GP165" s="125"/>
      <c r="GQ165" s="125"/>
      <c r="GR165" s="125"/>
      <c r="GS165" s="125"/>
      <c r="GT165" s="125"/>
      <c r="GU165" s="125"/>
      <c r="GV165" s="125"/>
      <c r="GW165" s="125"/>
      <c r="GX165" s="125"/>
      <c r="GY165" s="125"/>
      <c r="GZ165" s="125"/>
    </row>
    <row r="166" spans="1:208" s="157" customFormat="1" ht="20.25" customHeight="1">
      <c r="B166" s="125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125"/>
      <c r="AA166" s="125"/>
      <c r="AB166" s="125"/>
      <c r="AC166" s="125"/>
      <c r="AD166" s="125"/>
      <c r="AE166" s="125"/>
      <c r="AF166" s="125"/>
      <c r="AG166" s="125"/>
      <c r="AH166" s="125"/>
      <c r="AI166" s="125"/>
      <c r="AJ166" s="125"/>
      <c r="AK166" s="125"/>
      <c r="AL166" s="125"/>
      <c r="AM166" s="125"/>
      <c r="AN166" s="125"/>
      <c r="AO166" s="125"/>
      <c r="AP166" s="125"/>
      <c r="AQ166" s="125"/>
      <c r="AR166" s="125"/>
      <c r="AS166" s="125"/>
      <c r="AT166" s="125"/>
      <c r="AU166" s="125"/>
      <c r="AV166" s="125"/>
      <c r="AW166" s="125"/>
      <c r="AX166" s="125"/>
      <c r="AY166" s="125"/>
      <c r="AZ166" s="125"/>
      <c r="BA166" s="125"/>
      <c r="BB166" s="125"/>
      <c r="BC166" s="125"/>
      <c r="BD166" s="125"/>
      <c r="BE166" s="125"/>
      <c r="BF166" s="125"/>
      <c r="BG166" s="125"/>
      <c r="BH166" s="125"/>
      <c r="BI166" s="125"/>
      <c r="BJ166" s="125"/>
      <c r="BK166" s="125"/>
      <c r="BL166" s="125"/>
      <c r="BM166" s="125"/>
      <c r="BN166" s="125"/>
      <c r="BO166" s="125"/>
      <c r="BP166" s="125"/>
      <c r="BQ166" s="125"/>
      <c r="BR166" s="125"/>
      <c r="BS166" s="125"/>
      <c r="BT166" s="125"/>
      <c r="BU166" s="125"/>
      <c r="BV166" s="125"/>
      <c r="BW166" s="125"/>
      <c r="BX166" s="125"/>
      <c r="BY166" s="125"/>
      <c r="BZ166" s="125"/>
      <c r="CA166" s="125"/>
      <c r="CB166" s="125"/>
      <c r="CC166" s="125"/>
      <c r="CD166" s="125"/>
      <c r="CE166" s="125"/>
      <c r="CF166" s="125"/>
      <c r="CG166" s="125"/>
      <c r="CH166" s="125"/>
      <c r="CI166" s="125"/>
      <c r="CJ166" s="125"/>
      <c r="CK166" s="125"/>
      <c r="CL166" s="125"/>
      <c r="CM166" s="125"/>
      <c r="CN166" s="125"/>
      <c r="CO166" s="125"/>
      <c r="CP166" s="125"/>
      <c r="CQ166" s="125"/>
      <c r="CR166" s="125"/>
      <c r="CS166" s="125"/>
      <c r="CT166" s="125"/>
      <c r="CU166" s="125"/>
      <c r="CV166" s="125"/>
      <c r="CW166" s="125"/>
      <c r="CX166" s="125"/>
      <c r="CY166" s="125"/>
      <c r="CZ166" s="125"/>
      <c r="DA166" s="125"/>
      <c r="DB166" s="125"/>
      <c r="DC166" s="125"/>
      <c r="DD166" s="125"/>
      <c r="DE166" s="125"/>
      <c r="DF166" s="125"/>
      <c r="DG166" s="125"/>
      <c r="DH166" s="125"/>
      <c r="DI166" s="125"/>
      <c r="DJ166" s="125"/>
      <c r="DK166" s="125"/>
      <c r="DL166" s="125"/>
      <c r="DM166" s="125"/>
      <c r="DN166" s="125"/>
      <c r="DO166" s="125"/>
      <c r="DP166" s="125"/>
      <c r="DQ166" s="125"/>
      <c r="DR166" s="125"/>
      <c r="DS166" s="125"/>
      <c r="DT166" s="125"/>
      <c r="DU166" s="125"/>
      <c r="DV166" s="125"/>
      <c r="DW166" s="125"/>
      <c r="DX166" s="125"/>
      <c r="DY166" s="125"/>
      <c r="DZ166" s="125"/>
      <c r="EA166" s="125"/>
      <c r="EB166" s="125"/>
      <c r="EC166" s="125"/>
      <c r="ED166" s="125"/>
      <c r="EE166" s="125"/>
      <c r="EF166" s="125"/>
      <c r="EG166" s="125"/>
      <c r="EH166" s="125"/>
      <c r="EI166" s="125"/>
      <c r="EJ166" s="125"/>
      <c r="EK166" s="125"/>
      <c r="EL166" s="125"/>
      <c r="EM166" s="125"/>
      <c r="EN166" s="125"/>
      <c r="EO166" s="125"/>
      <c r="EP166" s="125"/>
      <c r="EQ166" s="125"/>
      <c r="ER166" s="125"/>
      <c r="ES166" s="125"/>
      <c r="ET166" s="125"/>
      <c r="EU166" s="125"/>
      <c r="EV166" s="125"/>
      <c r="EW166" s="125"/>
      <c r="EX166" s="125"/>
      <c r="EY166" s="125"/>
      <c r="EZ166" s="125"/>
      <c r="FA166" s="125"/>
      <c r="FB166" s="125"/>
      <c r="FC166" s="125"/>
      <c r="FD166" s="125"/>
      <c r="FE166" s="125"/>
      <c r="FF166" s="125"/>
      <c r="FG166" s="125"/>
      <c r="FH166" s="125"/>
      <c r="FI166" s="125"/>
      <c r="FJ166" s="125"/>
      <c r="FK166" s="125"/>
      <c r="FL166" s="125"/>
      <c r="FM166" s="125"/>
      <c r="FN166" s="125"/>
      <c r="FO166" s="125"/>
      <c r="FP166" s="125"/>
      <c r="FQ166" s="125"/>
      <c r="FR166" s="125"/>
      <c r="FS166" s="125"/>
      <c r="FT166" s="125"/>
      <c r="FU166" s="125"/>
      <c r="FV166" s="125"/>
      <c r="FW166" s="125"/>
      <c r="FX166" s="125"/>
      <c r="FY166" s="125"/>
      <c r="FZ166" s="125"/>
      <c r="GA166" s="125"/>
      <c r="GB166" s="125"/>
      <c r="GC166" s="125"/>
      <c r="GD166" s="125"/>
      <c r="GE166" s="125"/>
      <c r="GF166" s="125"/>
      <c r="GG166" s="125"/>
      <c r="GH166" s="125"/>
      <c r="GI166" s="125"/>
      <c r="GJ166" s="125"/>
      <c r="GK166" s="125"/>
      <c r="GL166" s="125"/>
      <c r="GM166" s="125"/>
      <c r="GN166" s="125"/>
      <c r="GO166" s="125"/>
      <c r="GP166" s="125"/>
      <c r="GQ166" s="125"/>
      <c r="GR166" s="125"/>
      <c r="GS166" s="125"/>
      <c r="GT166" s="125"/>
      <c r="GU166" s="125"/>
      <c r="GV166" s="125"/>
      <c r="GW166" s="125"/>
      <c r="GX166" s="125"/>
      <c r="GY166" s="125"/>
      <c r="GZ166" s="125"/>
    </row>
    <row r="167" spans="1:208" s="157" customFormat="1" ht="20.25" customHeight="1"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  <c r="AA167" s="125"/>
      <c r="AB167" s="125"/>
      <c r="AC167" s="125"/>
      <c r="AD167" s="125"/>
      <c r="AE167" s="125"/>
      <c r="AF167" s="125"/>
      <c r="AG167" s="125"/>
      <c r="AH167" s="125"/>
      <c r="AI167" s="125"/>
      <c r="AJ167" s="125"/>
      <c r="AK167" s="125"/>
      <c r="AL167" s="125"/>
      <c r="AM167" s="125"/>
      <c r="AN167" s="125"/>
      <c r="AO167" s="125"/>
      <c r="AP167" s="125"/>
      <c r="AQ167" s="125"/>
      <c r="AR167" s="125"/>
      <c r="AS167" s="125"/>
      <c r="AT167" s="125"/>
      <c r="AU167" s="125"/>
      <c r="AV167" s="125"/>
      <c r="AW167" s="125"/>
      <c r="AX167" s="125"/>
      <c r="AY167" s="125"/>
      <c r="AZ167" s="125"/>
      <c r="BA167" s="125"/>
      <c r="BB167" s="125"/>
      <c r="BC167" s="125"/>
      <c r="BD167" s="125"/>
      <c r="BE167" s="125"/>
      <c r="BF167" s="125"/>
      <c r="BG167" s="125"/>
      <c r="BH167" s="125"/>
      <c r="BI167" s="125"/>
      <c r="BJ167" s="125"/>
      <c r="BK167" s="125"/>
      <c r="BL167" s="125"/>
      <c r="BM167" s="125"/>
      <c r="BN167" s="125"/>
      <c r="BO167" s="125"/>
      <c r="BP167" s="125"/>
      <c r="BQ167" s="125"/>
      <c r="BR167" s="125"/>
      <c r="BS167" s="125"/>
      <c r="BT167" s="125"/>
      <c r="BU167" s="125"/>
      <c r="BV167" s="125"/>
      <c r="BW167" s="125"/>
      <c r="BX167" s="125"/>
      <c r="BY167" s="125"/>
      <c r="BZ167" s="125"/>
      <c r="CA167" s="125"/>
      <c r="CB167" s="125"/>
      <c r="CC167" s="125"/>
      <c r="CD167" s="125"/>
      <c r="CE167" s="125"/>
      <c r="CF167" s="125"/>
      <c r="CG167" s="125"/>
      <c r="CH167" s="125"/>
      <c r="CI167" s="125"/>
      <c r="CJ167" s="125"/>
      <c r="CK167" s="125"/>
      <c r="CL167" s="125"/>
      <c r="CM167" s="125"/>
      <c r="CN167" s="125"/>
      <c r="CO167" s="125"/>
      <c r="CP167" s="125"/>
      <c r="CQ167" s="125"/>
      <c r="CR167" s="125"/>
      <c r="CS167" s="125"/>
      <c r="CT167" s="125"/>
      <c r="CU167" s="125"/>
      <c r="CV167" s="125"/>
      <c r="CW167" s="125"/>
      <c r="CX167" s="125"/>
      <c r="CY167" s="125"/>
      <c r="CZ167" s="125"/>
      <c r="DA167" s="125"/>
      <c r="DB167" s="125"/>
      <c r="DC167" s="125"/>
      <c r="DD167" s="125"/>
      <c r="DE167" s="125"/>
      <c r="DF167" s="125"/>
      <c r="DG167" s="125"/>
      <c r="DH167" s="125"/>
      <c r="DI167" s="125"/>
      <c r="DJ167" s="125"/>
      <c r="DK167" s="125"/>
      <c r="DL167" s="125"/>
      <c r="DM167" s="125"/>
      <c r="DN167" s="125"/>
      <c r="DO167" s="125"/>
      <c r="DP167" s="125"/>
      <c r="DQ167" s="125"/>
      <c r="DR167" s="125"/>
      <c r="DS167" s="125"/>
      <c r="DT167" s="125"/>
      <c r="DU167" s="125"/>
      <c r="DV167" s="125"/>
      <c r="DW167" s="125"/>
      <c r="DX167" s="125"/>
      <c r="DY167" s="125"/>
      <c r="DZ167" s="125"/>
      <c r="EA167" s="125"/>
      <c r="EB167" s="125"/>
      <c r="EC167" s="125"/>
      <c r="ED167" s="125"/>
      <c r="EE167" s="125"/>
      <c r="EF167" s="125"/>
      <c r="EG167" s="125"/>
      <c r="EH167" s="125"/>
      <c r="EI167" s="125"/>
      <c r="EJ167" s="125"/>
      <c r="EK167" s="125"/>
      <c r="EL167" s="125"/>
      <c r="EM167" s="125"/>
      <c r="EN167" s="125"/>
      <c r="EO167" s="125"/>
      <c r="EP167" s="125"/>
      <c r="EQ167" s="125"/>
      <c r="ER167" s="125"/>
      <c r="ES167" s="125"/>
      <c r="ET167" s="125"/>
      <c r="EU167" s="125"/>
      <c r="EV167" s="125"/>
      <c r="EW167" s="125"/>
      <c r="EX167" s="125"/>
      <c r="EY167" s="125"/>
      <c r="EZ167" s="125"/>
      <c r="FA167" s="125"/>
      <c r="FB167" s="125"/>
      <c r="FC167" s="125"/>
      <c r="FD167" s="125"/>
      <c r="FE167" s="125"/>
      <c r="FF167" s="125"/>
      <c r="FG167" s="125"/>
      <c r="FH167" s="125"/>
      <c r="FI167" s="125"/>
      <c r="FJ167" s="125"/>
      <c r="FK167" s="125"/>
      <c r="FL167" s="125"/>
      <c r="FM167" s="125"/>
      <c r="FN167" s="125"/>
      <c r="FO167" s="125"/>
      <c r="FP167" s="125"/>
      <c r="FQ167" s="125"/>
      <c r="FR167" s="125"/>
      <c r="FS167" s="125"/>
      <c r="FT167" s="125"/>
      <c r="FU167" s="125"/>
      <c r="FV167" s="125"/>
      <c r="FW167" s="125"/>
      <c r="FX167" s="125"/>
      <c r="FY167" s="125"/>
      <c r="FZ167" s="125"/>
      <c r="GA167" s="125"/>
      <c r="GB167" s="125"/>
      <c r="GC167" s="125"/>
      <c r="GD167" s="125"/>
      <c r="GE167" s="125"/>
      <c r="GF167" s="125"/>
      <c r="GG167" s="125"/>
      <c r="GH167" s="125"/>
      <c r="GI167" s="125"/>
      <c r="GJ167" s="125"/>
      <c r="GK167" s="125"/>
      <c r="GL167" s="125"/>
      <c r="GM167" s="125"/>
      <c r="GN167" s="125"/>
      <c r="GO167" s="125"/>
      <c r="GP167" s="125"/>
      <c r="GQ167" s="125"/>
      <c r="GR167" s="125"/>
      <c r="GS167" s="125"/>
      <c r="GT167" s="125"/>
      <c r="GU167" s="125"/>
      <c r="GV167" s="125"/>
      <c r="GW167" s="125"/>
      <c r="GX167" s="125"/>
      <c r="GY167" s="125"/>
      <c r="GZ167" s="125"/>
    </row>
    <row r="168" spans="1:208" s="157" customFormat="1" ht="20.25" customHeight="1">
      <c r="B168" s="125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125"/>
      <c r="AK168" s="125"/>
      <c r="AL168" s="125"/>
      <c r="AM168" s="125"/>
      <c r="AN168" s="125"/>
      <c r="AO168" s="125"/>
      <c r="AP168" s="125"/>
      <c r="AQ168" s="125"/>
      <c r="AR168" s="125"/>
      <c r="AS168" s="125"/>
      <c r="AT168" s="125"/>
      <c r="AU168" s="125"/>
      <c r="AV168" s="125"/>
      <c r="AW168" s="125"/>
      <c r="AX168" s="125"/>
      <c r="AY168" s="125"/>
      <c r="AZ168" s="125"/>
      <c r="BA168" s="125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125"/>
      <c r="BM168" s="125"/>
      <c r="BN168" s="125"/>
      <c r="BO168" s="125"/>
      <c r="BP168" s="125"/>
      <c r="BQ168" s="125"/>
      <c r="BR168" s="125"/>
      <c r="BS168" s="125"/>
      <c r="BT168" s="125"/>
      <c r="BU168" s="125"/>
      <c r="BV168" s="125"/>
      <c r="BW168" s="125"/>
      <c r="BX168" s="125"/>
      <c r="BY168" s="125"/>
      <c r="BZ168" s="125"/>
      <c r="CA168" s="125"/>
      <c r="CB168" s="125"/>
      <c r="CC168" s="125"/>
      <c r="CD168" s="125"/>
      <c r="CE168" s="125"/>
      <c r="CF168" s="125"/>
      <c r="CG168" s="125"/>
      <c r="CH168" s="125"/>
      <c r="CI168" s="125"/>
      <c r="CJ168" s="125"/>
      <c r="CK168" s="125"/>
      <c r="CL168" s="125"/>
      <c r="CM168" s="125"/>
      <c r="CN168" s="125"/>
      <c r="CO168" s="125"/>
      <c r="CP168" s="125"/>
      <c r="CQ168" s="125"/>
      <c r="CR168" s="125"/>
      <c r="CS168" s="125"/>
      <c r="CT168" s="125"/>
      <c r="CU168" s="125"/>
      <c r="CV168" s="125"/>
      <c r="CW168" s="125"/>
      <c r="CX168" s="125"/>
      <c r="CY168" s="125"/>
      <c r="CZ168" s="125"/>
      <c r="DA168" s="125"/>
      <c r="DB168" s="125"/>
      <c r="DC168" s="125"/>
      <c r="DD168" s="125"/>
      <c r="DE168" s="125"/>
      <c r="DF168" s="125"/>
      <c r="DG168" s="125"/>
      <c r="DH168" s="125"/>
      <c r="DI168" s="125"/>
      <c r="DJ168" s="125"/>
      <c r="DK168" s="125"/>
      <c r="DL168" s="125"/>
      <c r="DM168" s="125"/>
      <c r="DN168" s="125"/>
      <c r="DO168" s="125"/>
      <c r="DP168" s="125"/>
      <c r="DQ168" s="125"/>
      <c r="DR168" s="125"/>
      <c r="DS168" s="125"/>
      <c r="DT168" s="125"/>
      <c r="DU168" s="125"/>
      <c r="DV168" s="125"/>
      <c r="DW168" s="125"/>
      <c r="DX168" s="125"/>
      <c r="DY168" s="125"/>
      <c r="DZ168" s="125"/>
      <c r="EA168" s="125"/>
      <c r="EB168" s="125"/>
      <c r="EC168" s="125"/>
      <c r="ED168" s="125"/>
      <c r="EE168" s="125"/>
      <c r="EF168" s="125"/>
      <c r="EG168" s="125"/>
      <c r="EH168" s="125"/>
      <c r="EI168" s="125"/>
      <c r="EJ168" s="125"/>
      <c r="EK168" s="125"/>
      <c r="EL168" s="125"/>
      <c r="EM168" s="125"/>
      <c r="EN168" s="125"/>
      <c r="EO168" s="125"/>
      <c r="EP168" s="125"/>
      <c r="EQ168" s="125"/>
      <c r="ER168" s="125"/>
      <c r="ES168" s="125"/>
      <c r="ET168" s="125"/>
      <c r="EU168" s="125"/>
      <c r="EV168" s="125"/>
      <c r="EW168" s="125"/>
      <c r="EX168" s="125"/>
      <c r="EY168" s="125"/>
      <c r="EZ168" s="125"/>
      <c r="FA168" s="125"/>
      <c r="FB168" s="125"/>
      <c r="FC168" s="125"/>
      <c r="FD168" s="125"/>
      <c r="FE168" s="125"/>
      <c r="FF168" s="125"/>
      <c r="FG168" s="125"/>
      <c r="FH168" s="125"/>
      <c r="FI168" s="125"/>
      <c r="FJ168" s="125"/>
      <c r="FK168" s="125"/>
      <c r="FL168" s="125"/>
      <c r="FM168" s="125"/>
      <c r="FN168" s="125"/>
      <c r="FO168" s="125"/>
      <c r="FP168" s="125"/>
      <c r="FQ168" s="125"/>
      <c r="FR168" s="125"/>
      <c r="FS168" s="125"/>
      <c r="FT168" s="125"/>
      <c r="FU168" s="125"/>
      <c r="FV168" s="125"/>
      <c r="FW168" s="125"/>
      <c r="FX168" s="125"/>
      <c r="FY168" s="125"/>
      <c r="FZ168" s="125"/>
      <c r="GA168" s="125"/>
      <c r="GB168" s="125"/>
      <c r="GC168" s="125"/>
      <c r="GD168" s="125"/>
      <c r="GE168" s="125"/>
      <c r="GF168" s="125"/>
      <c r="GG168" s="125"/>
      <c r="GH168" s="125"/>
      <c r="GI168" s="125"/>
      <c r="GJ168" s="125"/>
      <c r="GK168" s="125"/>
      <c r="GL168" s="125"/>
      <c r="GM168" s="125"/>
      <c r="GN168" s="125"/>
      <c r="GO168" s="125"/>
      <c r="GP168" s="125"/>
      <c r="GQ168" s="125"/>
      <c r="GR168" s="125"/>
      <c r="GS168" s="125"/>
      <c r="GT168" s="125"/>
      <c r="GU168" s="125"/>
      <c r="GV168" s="125"/>
      <c r="GW168" s="125"/>
      <c r="GX168" s="125"/>
      <c r="GY168" s="125"/>
      <c r="GZ168" s="125"/>
    </row>
    <row r="169" spans="1:208" ht="20.25" customHeight="1">
      <c r="A169" s="524" t="s">
        <v>197</v>
      </c>
      <c r="B169" s="524"/>
      <c r="C169" s="524"/>
      <c r="D169" s="524"/>
      <c r="E169" s="524"/>
      <c r="F169" s="524"/>
      <c r="G169" s="524"/>
      <c r="H169" s="524"/>
      <c r="I169" s="524"/>
      <c r="J169" s="524"/>
      <c r="K169" s="524"/>
      <c r="L169" s="524"/>
      <c r="M169" s="524"/>
      <c r="N169" s="524"/>
      <c r="O169" s="524"/>
      <c r="P169" s="524"/>
      <c r="Q169" s="524"/>
      <c r="R169" s="524"/>
      <c r="S169" s="524"/>
      <c r="T169" s="524"/>
      <c r="U169" s="524"/>
      <c r="V169" s="524"/>
      <c r="W169" s="524"/>
      <c r="X169" s="524"/>
      <c r="Y169" s="524"/>
      <c r="Z169" s="524"/>
    </row>
    <row r="170" spans="1:208" ht="20.25" customHeight="1">
      <c r="A170" s="524" t="s">
        <v>240</v>
      </c>
      <c r="B170" s="524"/>
      <c r="C170" s="524"/>
      <c r="D170" s="524"/>
      <c r="E170" s="524"/>
      <c r="F170" s="524"/>
      <c r="G170" s="524"/>
      <c r="H170" s="524"/>
      <c r="I170" s="524"/>
      <c r="J170" s="524"/>
      <c r="K170" s="524"/>
      <c r="L170" s="524"/>
      <c r="M170" s="524"/>
      <c r="N170" s="524"/>
      <c r="O170" s="524"/>
      <c r="P170" s="524"/>
      <c r="Q170" s="524"/>
      <c r="R170" s="524"/>
      <c r="S170" s="524"/>
      <c r="T170" s="524"/>
      <c r="U170" s="524"/>
      <c r="V170" s="524"/>
      <c r="W170" s="524"/>
      <c r="X170" s="524"/>
      <c r="Y170" s="524"/>
      <c r="Z170" s="524"/>
    </row>
    <row r="171" spans="1:208" ht="20.25" customHeight="1" thickBot="1">
      <c r="A171" s="523" t="str">
        <f>A46</f>
        <v>วันที่  30  เมษายน  2557</v>
      </c>
      <c r="B171" s="523"/>
      <c r="C171" s="523"/>
      <c r="D171" s="523"/>
      <c r="E171" s="523"/>
      <c r="F171" s="523"/>
      <c r="G171" s="523"/>
      <c r="H171" s="523"/>
      <c r="I171" s="523"/>
      <c r="J171" s="523"/>
      <c r="K171" s="523"/>
      <c r="L171" s="523"/>
      <c r="M171" s="523"/>
      <c r="N171" s="523"/>
      <c r="O171" s="523"/>
      <c r="P171" s="523"/>
      <c r="Q171" s="523"/>
      <c r="R171" s="523"/>
      <c r="S171" s="523"/>
      <c r="T171" s="523"/>
      <c r="U171" s="523"/>
      <c r="V171" s="523"/>
      <c r="W171" s="523"/>
      <c r="X171" s="523"/>
      <c r="Y171" s="523"/>
      <c r="Z171" s="523"/>
    </row>
    <row r="172" spans="1:208" ht="20.25" customHeight="1">
      <c r="A172" s="126" t="s">
        <v>199</v>
      </c>
      <c r="B172" s="525" t="s">
        <v>200</v>
      </c>
      <c r="C172" s="525"/>
      <c r="D172" s="525" t="s">
        <v>201</v>
      </c>
      <c r="E172" s="525"/>
      <c r="F172" s="525" t="s">
        <v>202</v>
      </c>
      <c r="G172" s="525"/>
      <c r="H172" s="525"/>
      <c r="I172" s="525" t="s">
        <v>203</v>
      </c>
      <c r="J172" s="525"/>
      <c r="K172" s="525" t="s">
        <v>204</v>
      </c>
      <c r="L172" s="525"/>
      <c r="M172" s="526" t="s">
        <v>205</v>
      </c>
      <c r="N172" s="527"/>
      <c r="O172" s="528"/>
      <c r="P172" s="525" t="s">
        <v>206</v>
      </c>
      <c r="Q172" s="525"/>
      <c r="R172" s="525" t="s">
        <v>207</v>
      </c>
      <c r="S172" s="525"/>
      <c r="T172" s="525"/>
      <c r="U172" s="167" t="s">
        <v>208</v>
      </c>
      <c r="V172" s="525" t="s">
        <v>209</v>
      </c>
      <c r="W172" s="525"/>
      <c r="X172" s="167" t="s">
        <v>210</v>
      </c>
      <c r="Y172" s="167" t="s">
        <v>211</v>
      </c>
      <c r="Z172" s="529" t="s">
        <v>54</v>
      </c>
    </row>
    <row r="173" spans="1:208" ht="20.25" customHeight="1" thickBot="1">
      <c r="A173" s="128" t="s">
        <v>212</v>
      </c>
      <c r="B173" s="129" t="s">
        <v>213</v>
      </c>
      <c r="C173" s="129" t="s">
        <v>214</v>
      </c>
      <c r="D173" s="129" t="s">
        <v>215</v>
      </c>
      <c r="E173" s="129" t="s">
        <v>216</v>
      </c>
      <c r="F173" s="129" t="s">
        <v>217</v>
      </c>
      <c r="G173" s="129" t="s">
        <v>218</v>
      </c>
      <c r="H173" s="129" t="s">
        <v>219</v>
      </c>
      <c r="I173" s="129" t="s">
        <v>220</v>
      </c>
      <c r="J173" s="129" t="s">
        <v>221</v>
      </c>
      <c r="K173" s="129" t="s">
        <v>222</v>
      </c>
      <c r="L173" s="129" t="s">
        <v>223</v>
      </c>
      <c r="M173" s="130" t="s">
        <v>224</v>
      </c>
      <c r="N173" s="129" t="s">
        <v>225</v>
      </c>
      <c r="O173" s="129" t="s">
        <v>226</v>
      </c>
      <c r="P173" s="129" t="s">
        <v>227</v>
      </c>
      <c r="Q173" s="129" t="s">
        <v>228</v>
      </c>
      <c r="R173" s="129" t="s">
        <v>229</v>
      </c>
      <c r="S173" s="129" t="s">
        <v>230</v>
      </c>
      <c r="T173" s="129" t="s">
        <v>231</v>
      </c>
      <c r="U173" s="129" t="s">
        <v>232</v>
      </c>
      <c r="V173" s="129" t="s">
        <v>233</v>
      </c>
      <c r="W173" s="129" t="s">
        <v>234</v>
      </c>
      <c r="X173" s="129" t="s">
        <v>235</v>
      </c>
      <c r="Y173" s="129" t="s">
        <v>236</v>
      </c>
      <c r="Z173" s="530"/>
    </row>
    <row r="174" spans="1:208" ht="20.25" customHeight="1">
      <c r="A174" s="158" t="s">
        <v>239</v>
      </c>
      <c r="B174" s="138"/>
      <c r="C174" s="138">
        <v>0</v>
      </c>
      <c r="D174" s="138">
        <v>0</v>
      </c>
      <c r="E174" s="138">
        <v>0</v>
      </c>
      <c r="F174" s="138">
        <v>0</v>
      </c>
      <c r="G174" s="138"/>
      <c r="H174" s="138">
        <v>0</v>
      </c>
      <c r="I174" s="138">
        <v>0</v>
      </c>
      <c r="J174" s="138">
        <v>0</v>
      </c>
      <c r="K174" s="138">
        <v>0</v>
      </c>
      <c r="L174" s="138">
        <v>0</v>
      </c>
      <c r="M174" s="138">
        <v>0</v>
      </c>
      <c r="N174" s="138">
        <v>0</v>
      </c>
      <c r="O174" s="138">
        <v>0</v>
      </c>
      <c r="P174" s="138">
        <v>0</v>
      </c>
      <c r="Q174" s="138">
        <v>0</v>
      </c>
      <c r="R174" s="138">
        <v>0</v>
      </c>
      <c r="S174" s="138">
        <v>0</v>
      </c>
      <c r="T174" s="138">
        <v>0</v>
      </c>
      <c r="U174" s="138">
        <v>0</v>
      </c>
      <c r="V174" s="138">
        <v>0</v>
      </c>
      <c r="W174" s="138">
        <v>0</v>
      </c>
      <c r="X174" s="138">
        <v>0</v>
      </c>
      <c r="Y174" s="138">
        <v>568806</v>
      </c>
      <c r="Z174" s="133">
        <f>SUM(B174:Y174)</f>
        <v>568806</v>
      </c>
    </row>
    <row r="175" spans="1:208" ht="20.25" customHeight="1">
      <c r="A175" s="159">
        <v>510000</v>
      </c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>
        <v>0</v>
      </c>
      <c r="Z175" s="143">
        <f>SUM(B175:Y175)</f>
        <v>0</v>
      </c>
    </row>
    <row r="176" spans="1:208" ht="20.25" customHeight="1">
      <c r="A176" s="135">
        <v>111000</v>
      </c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>
        <v>0</v>
      </c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43">
        <f>SUM(B176:Y176)</f>
        <v>0</v>
      </c>
    </row>
    <row r="177" spans="1:26" ht="20.25" customHeight="1">
      <c r="A177" s="135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43">
        <f>SUM(B177:Y177)</f>
        <v>0</v>
      </c>
    </row>
    <row r="178" spans="1:26" ht="20.25" customHeight="1">
      <c r="A178" s="145"/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53"/>
    </row>
    <row r="179" spans="1:26" ht="20.25" customHeight="1" thickBot="1">
      <c r="A179" s="128"/>
      <c r="B179" s="137"/>
      <c r="C179" s="137"/>
      <c r="D179" s="137"/>
      <c r="E179" s="137"/>
      <c r="F179" s="137"/>
      <c r="G179" s="137"/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7"/>
      <c r="Y179" s="137"/>
      <c r="Z179" s="144">
        <f>SUM(B179:Y179)</f>
        <v>0</v>
      </c>
    </row>
    <row r="180" spans="1:26" ht="20.25" customHeight="1">
      <c r="A180" s="126" t="s">
        <v>237</v>
      </c>
      <c r="B180" s="160">
        <f>SUM(B175:B179)</f>
        <v>0</v>
      </c>
      <c r="C180" s="160">
        <f t="shared" ref="C180:I180" si="37">SUM(C179)</f>
        <v>0</v>
      </c>
      <c r="D180" s="160">
        <f t="shared" si="37"/>
        <v>0</v>
      </c>
      <c r="E180" s="160">
        <f t="shared" si="37"/>
        <v>0</v>
      </c>
      <c r="F180" s="160">
        <f t="shared" si="37"/>
        <v>0</v>
      </c>
      <c r="G180" s="160">
        <f t="shared" si="37"/>
        <v>0</v>
      </c>
      <c r="H180" s="160">
        <f t="shared" si="37"/>
        <v>0</v>
      </c>
      <c r="I180" s="160">
        <f t="shared" si="37"/>
        <v>0</v>
      </c>
      <c r="J180" s="160">
        <f>SUM(J176:J179)</f>
        <v>0</v>
      </c>
      <c r="K180" s="160">
        <f>SUM(K179)</f>
        <v>0</v>
      </c>
      <c r="L180" s="160">
        <f>SUM(L179)</f>
        <v>0</v>
      </c>
      <c r="M180" s="160">
        <f>SUM(M175:M179)</f>
        <v>0</v>
      </c>
      <c r="N180" s="160">
        <f>SUM(N175:N179)</f>
        <v>0</v>
      </c>
      <c r="O180" s="160">
        <f t="shared" ref="O180:Y180" si="38">SUM(O179)</f>
        <v>0</v>
      </c>
      <c r="P180" s="160">
        <f t="shared" si="38"/>
        <v>0</v>
      </c>
      <c r="Q180" s="160">
        <f t="shared" si="38"/>
        <v>0</v>
      </c>
      <c r="R180" s="160">
        <f t="shared" si="38"/>
        <v>0</v>
      </c>
      <c r="S180" s="160">
        <f t="shared" si="38"/>
        <v>0</v>
      </c>
      <c r="T180" s="160">
        <f t="shared" si="38"/>
        <v>0</v>
      </c>
      <c r="U180" s="160">
        <f t="shared" si="38"/>
        <v>0</v>
      </c>
      <c r="V180" s="160">
        <f t="shared" si="38"/>
        <v>0</v>
      </c>
      <c r="W180" s="160">
        <f t="shared" si="38"/>
        <v>0</v>
      </c>
      <c r="X180" s="160">
        <f t="shared" si="38"/>
        <v>0</v>
      </c>
      <c r="Y180" s="160">
        <f t="shared" si="38"/>
        <v>0</v>
      </c>
      <c r="Z180" s="140">
        <f>SUM(B180:Y180)</f>
        <v>0</v>
      </c>
    </row>
    <row r="181" spans="1:26" ht="20.25" customHeight="1" thickBot="1">
      <c r="A181" s="128" t="s">
        <v>238</v>
      </c>
      <c r="B181" s="161">
        <f t="shared" ref="B181:Z181" si="39">B174+B180</f>
        <v>0</v>
      </c>
      <c r="C181" s="161">
        <f t="shared" si="39"/>
        <v>0</v>
      </c>
      <c r="D181" s="161">
        <f t="shared" si="39"/>
        <v>0</v>
      </c>
      <c r="E181" s="161">
        <f t="shared" si="39"/>
        <v>0</v>
      </c>
      <c r="F181" s="161">
        <f t="shared" si="39"/>
        <v>0</v>
      </c>
      <c r="G181" s="161">
        <f t="shared" si="39"/>
        <v>0</v>
      </c>
      <c r="H181" s="161">
        <f t="shared" si="39"/>
        <v>0</v>
      </c>
      <c r="I181" s="161">
        <f t="shared" si="39"/>
        <v>0</v>
      </c>
      <c r="J181" s="161">
        <f t="shared" si="39"/>
        <v>0</v>
      </c>
      <c r="K181" s="161">
        <f t="shared" si="39"/>
        <v>0</v>
      </c>
      <c r="L181" s="161">
        <f t="shared" si="39"/>
        <v>0</v>
      </c>
      <c r="M181" s="161">
        <f t="shared" si="39"/>
        <v>0</v>
      </c>
      <c r="N181" s="161">
        <f t="shared" si="39"/>
        <v>0</v>
      </c>
      <c r="O181" s="161">
        <f t="shared" si="39"/>
        <v>0</v>
      </c>
      <c r="P181" s="161">
        <f t="shared" si="39"/>
        <v>0</v>
      </c>
      <c r="Q181" s="161">
        <f t="shared" si="39"/>
        <v>0</v>
      </c>
      <c r="R181" s="161">
        <f t="shared" si="39"/>
        <v>0</v>
      </c>
      <c r="S181" s="161">
        <f t="shared" si="39"/>
        <v>0</v>
      </c>
      <c r="T181" s="161">
        <f t="shared" si="39"/>
        <v>0</v>
      </c>
      <c r="U181" s="161">
        <f t="shared" si="39"/>
        <v>0</v>
      </c>
      <c r="V181" s="161">
        <f t="shared" si="39"/>
        <v>0</v>
      </c>
      <c r="W181" s="161">
        <f t="shared" si="39"/>
        <v>0</v>
      </c>
      <c r="X181" s="161">
        <f t="shared" si="39"/>
        <v>0</v>
      </c>
      <c r="Y181" s="161">
        <f t="shared" si="39"/>
        <v>568806</v>
      </c>
      <c r="Z181" s="144">
        <f t="shared" si="39"/>
        <v>568806</v>
      </c>
    </row>
    <row r="182" spans="1:26" ht="20.25" customHeight="1">
      <c r="A182" s="158" t="s">
        <v>239</v>
      </c>
      <c r="B182" s="138"/>
      <c r="C182" s="138">
        <v>0</v>
      </c>
      <c r="D182" s="138">
        <v>0</v>
      </c>
      <c r="E182" s="138">
        <v>0</v>
      </c>
      <c r="F182" s="138">
        <v>0</v>
      </c>
      <c r="G182" s="138"/>
      <c r="H182" s="138"/>
      <c r="I182" s="138"/>
      <c r="J182" s="138"/>
      <c r="K182" s="138">
        <v>0</v>
      </c>
      <c r="L182" s="138">
        <v>0</v>
      </c>
      <c r="M182" s="138">
        <v>0</v>
      </c>
      <c r="N182" s="138">
        <v>0</v>
      </c>
      <c r="O182" s="138">
        <v>0</v>
      </c>
      <c r="P182" s="138">
        <v>0</v>
      </c>
      <c r="Q182" s="138">
        <v>0</v>
      </c>
      <c r="R182" s="138">
        <v>0</v>
      </c>
      <c r="S182" s="138">
        <v>0</v>
      </c>
      <c r="T182" s="138">
        <v>0</v>
      </c>
      <c r="U182" s="138">
        <v>0</v>
      </c>
      <c r="V182" s="138">
        <v>0</v>
      </c>
      <c r="W182" s="138">
        <v>0</v>
      </c>
      <c r="X182" s="138">
        <v>0</v>
      </c>
      <c r="Y182" s="138">
        <v>0</v>
      </c>
      <c r="Z182" s="162">
        <f>SUM(B182:Y182)</f>
        <v>0</v>
      </c>
    </row>
    <row r="183" spans="1:26" ht="20.25" customHeight="1">
      <c r="A183" s="159">
        <v>542000</v>
      </c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63"/>
      <c r="Z183" s="143">
        <f>SUM(B183:Y183)</f>
        <v>0</v>
      </c>
    </row>
    <row r="184" spans="1:26" ht="20.25" customHeight="1">
      <c r="A184" s="135">
        <v>420900</v>
      </c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3">
        <f>SUM(B184:Y184)</f>
        <v>0</v>
      </c>
    </row>
    <row r="185" spans="1:26" ht="20.25" customHeight="1">
      <c r="A185" s="164"/>
      <c r="B185" s="136"/>
      <c r="C185" s="136"/>
      <c r="D185" s="136"/>
      <c r="E185" s="136"/>
      <c r="F185" s="136"/>
      <c r="G185" s="136"/>
      <c r="H185" s="136">
        <v>0</v>
      </c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3">
        <f>SUM(B185:Y185)</f>
        <v>0</v>
      </c>
    </row>
    <row r="186" spans="1:26" ht="20.25" customHeight="1" thickBot="1">
      <c r="A186" s="164"/>
      <c r="B186" s="136"/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3">
        <f>SUM(B186:Y186)</f>
        <v>0</v>
      </c>
    </row>
    <row r="187" spans="1:26" ht="20.25" customHeight="1">
      <c r="A187" s="126" t="s">
        <v>237</v>
      </c>
      <c r="B187" s="138">
        <f t="shared" ref="B187:Z187" si="40">SUM(B183:B186)</f>
        <v>0</v>
      </c>
      <c r="C187" s="138">
        <f t="shared" si="40"/>
        <v>0</v>
      </c>
      <c r="D187" s="138">
        <f t="shared" si="40"/>
        <v>0</v>
      </c>
      <c r="E187" s="138">
        <f t="shared" si="40"/>
        <v>0</v>
      </c>
      <c r="F187" s="138">
        <f t="shared" si="40"/>
        <v>0</v>
      </c>
      <c r="G187" s="138">
        <f t="shared" si="40"/>
        <v>0</v>
      </c>
      <c r="H187" s="138">
        <f t="shared" si="40"/>
        <v>0</v>
      </c>
      <c r="I187" s="138">
        <f t="shared" si="40"/>
        <v>0</v>
      </c>
      <c r="J187" s="138">
        <f t="shared" si="40"/>
        <v>0</v>
      </c>
      <c r="K187" s="138">
        <f t="shared" si="40"/>
        <v>0</v>
      </c>
      <c r="L187" s="138">
        <f t="shared" si="40"/>
        <v>0</v>
      </c>
      <c r="M187" s="138">
        <f t="shared" si="40"/>
        <v>0</v>
      </c>
      <c r="N187" s="138">
        <f t="shared" si="40"/>
        <v>0</v>
      </c>
      <c r="O187" s="138">
        <f t="shared" si="40"/>
        <v>0</v>
      </c>
      <c r="P187" s="138">
        <f t="shared" si="40"/>
        <v>0</v>
      </c>
      <c r="Q187" s="138">
        <f t="shared" si="40"/>
        <v>0</v>
      </c>
      <c r="R187" s="138">
        <f t="shared" si="40"/>
        <v>0</v>
      </c>
      <c r="S187" s="138">
        <f t="shared" si="40"/>
        <v>0</v>
      </c>
      <c r="T187" s="138">
        <f t="shared" si="40"/>
        <v>0</v>
      </c>
      <c r="U187" s="138">
        <f t="shared" si="40"/>
        <v>0</v>
      </c>
      <c r="V187" s="138">
        <f t="shared" si="40"/>
        <v>0</v>
      </c>
      <c r="W187" s="138">
        <f t="shared" si="40"/>
        <v>0</v>
      </c>
      <c r="X187" s="138">
        <f t="shared" si="40"/>
        <v>0</v>
      </c>
      <c r="Y187" s="138">
        <f t="shared" si="40"/>
        <v>0</v>
      </c>
      <c r="Z187" s="140">
        <f t="shared" si="40"/>
        <v>0</v>
      </c>
    </row>
    <row r="188" spans="1:26" ht="20.25" customHeight="1" thickBot="1">
      <c r="A188" s="128" t="s">
        <v>238</v>
      </c>
      <c r="B188" s="137">
        <f t="shared" ref="B188:Y188" si="41">B182+B187</f>
        <v>0</v>
      </c>
      <c r="C188" s="137">
        <f t="shared" si="41"/>
        <v>0</v>
      </c>
      <c r="D188" s="137">
        <f t="shared" si="41"/>
        <v>0</v>
      </c>
      <c r="E188" s="137">
        <f t="shared" si="41"/>
        <v>0</v>
      </c>
      <c r="F188" s="137">
        <f t="shared" si="41"/>
        <v>0</v>
      </c>
      <c r="G188" s="137">
        <f t="shared" si="41"/>
        <v>0</v>
      </c>
      <c r="H188" s="137">
        <f t="shared" si="41"/>
        <v>0</v>
      </c>
      <c r="I188" s="137">
        <f t="shared" si="41"/>
        <v>0</v>
      </c>
      <c r="J188" s="137">
        <f t="shared" si="41"/>
        <v>0</v>
      </c>
      <c r="K188" s="137">
        <f t="shared" si="41"/>
        <v>0</v>
      </c>
      <c r="L188" s="137">
        <f t="shared" si="41"/>
        <v>0</v>
      </c>
      <c r="M188" s="137">
        <f t="shared" si="41"/>
        <v>0</v>
      </c>
      <c r="N188" s="137">
        <f t="shared" si="41"/>
        <v>0</v>
      </c>
      <c r="O188" s="137">
        <f t="shared" si="41"/>
        <v>0</v>
      </c>
      <c r="P188" s="137">
        <f t="shared" si="41"/>
        <v>0</v>
      </c>
      <c r="Q188" s="137">
        <f t="shared" si="41"/>
        <v>0</v>
      </c>
      <c r="R188" s="137">
        <f t="shared" si="41"/>
        <v>0</v>
      </c>
      <c r="S188" s="137">
        <f t="shared" si="41"/>
        <v>0</v>
      </c>
      <c r="T188" s="137">
        <f t="shared" si="41"/>
        <v>0</v>
      </c>
      <c r="U188" s="137">
        <f t="shared" si="41"/>
        <v>0</v>
      </c>
      <c r="V188" s="137">
        <f t="shared" si="41"/>
        <v>0</v>
      </c>
      <c r="W188" s="137">
        <f t="shared" si="41"/>
        <v>0</v>
      </c>
      <c r="X188" s="137">
        <f t="shared" si="41"/>
        <v>0</v>
      </c>
      <c r="Y188" s="137">
        <f t="shared" si="41"/>
        <v>0</v>
      </c>
      <c r="Z188" s="144">
        <f>+Z182+Z187</f>
        <v>0</v>
      </c>
    </row>
    <row r="189" spans="1:26" ht="20.25" customHeight="1" thickBot="1">
      <c r="A189" s="126" t="s">
        <v>237</v>
      </c>
      <c r="B189" s="160">
        <f>B181+B188</f>
        <v>0</v>
      </c>
      <c r="C189" s="160">
        <f t="shared" ref="C189:M189" si="42">C181+C188</f>
        <v>0</v>
      </c>
      <c r="D189" s="160">
        <f t="shared" si="42"/>
        <v>0</v>
      </c>
      <c r="E189" s="160">
        <f t="shared" si="42"/>
        <v>0</v>
      </c>
      <c r="F189" s="160">
        <f t="shared" si="42"/>
        <v>0</v>
      </c>
      <c r="G189" s="160">
        <f t="shared" si="42"/>
        <v>0</v>
      </c>
      <c r="H189" s="160">
        <f t="shared" si="42"/>
        <v>0</v>
      </c>
      <c r="I189" s="160">
        <f t="shared" si="42"/>
        <v>0</v>
      </c>
      <c r="J189" s="160">
        <f t="shared" si="42"/>
        <v>0</v>
      </c>
      <c r="K189" s="160">
        <f t="shared" si="42"/>
        <v>0</v>
      </c>
      <c r="L189" s="160">
        <f t="shared" si="42"/>
        <v>0</v>
      </c>
      <c r="M189" s="160">
        <f t="shared" si="42"/>
        <v>0</v>
      </c>
      <c r="N189" s="160">
        <f>N181+N188</f>
        <v>0</v>
      </c>
      <c r="O189" s="160">
        <f t="shared" ref="O189" si="43">O181+O188</f>
        <v>0</v>
      </c>
      <c r="P189" s="160">
        <f t="shared" ref="P189" si="44">P181+P188</f>
        <v>0</v>
      </c>
      <c r="Q189" s="160">
        <f t="shared" ref="Q189" si="45">Q181+Q188</f>
        <v>0</v>
      </c>
      <c r="R189" s="160">
        <f t="shared" ref="R189" si="46">R181+R188</f>
        <v>0</v>
      </c>
      <c r="S189" s="160">
        <f t="shared" ref="S189" si="47">S181+S188</f>
        <v>0</v>
      </c>
      <c r="T189" s="160">
        <f t="shared" ref="T189" si="48">T181+T188</f>
        <v>0</v>
      </c>
      <c r="U189" s="160">
        <f t="shared" ref="U189" si="49">U181+U188</f>
        <v>0</v>
      </c>
      <c r="V189" s="160">
        <f t="shared" ref="V189" si="50">V181+V188</f>
        <v>0</v>
      </c>
      <c r="W189" s="160">
        <f t="shared" ref="W189" si="51">W181+W188</f>
        <v>0</v>
      </c>
      <c r="X189" s="160">
        <f t="shared" ref="X189" si="52">X181+X188</f>
        <v>0</v>
      </c>
      <c r="Y189" s="160">
        <f>Y181+Y188</f>
        <v>568806</v>
      </c>
      <c r="Z189" s="160">
        <f t="shared" ref="Z189:Z190" si="53">Z181+Z188</f>
        <v>568806</v>
      </c>
    </row>
    <row r="190" spans="1:26" ht="20.25" customHeight="1" thickBot="1">
      <c r="A190" s="128" t="s">
        <v>238</v>
      </c>
      <c r="B190" s="165">
        <f>B181+B188</f>
        <v>0</v>
      </c>
      <c r="C190" s="165">
        <f t="shared" ref="C190:N190" si="54">C181+C188</f>
        <v>0</v>
      </c>
      <c r="D190" s="165">
        <f t="shared" si="54"/>
        <v>0</v>
      </c>
      <c r="E190" s="165">
        <f t="shared" si="54"/>
        <v>0</v>
      </c>
      <c r="F190" s="165">
        <f t="shared" si="54"/>
        <v>0</v>
      </c>
      <c r="G190" s="165">
        <f t="shared" si="54"/>
        <v>0</v>
      </c>
      <c r="H190" s="165">
        <f t="shared" si="54"/>
        <v>0</v>
      </c>
      <c r="I190" s="165">
        <f t="shared" si="54"/>
        <v>0</v>
      </c>
      <c r="J190" s="165">
        <f t="shared" si="54"/>
        <v>0</v>
      </c>
      <c r="K190" s="165">
        <f t="shared" si="54"/>
        <v>0</v>
      </c>
      <c r="L190" s="165">
        <f t="shared" si="54"/>
        <v>0</v>
      </c>
      <c r="M190" s="165">
        <f t="shared" si="54"/>
        <v>0</v>
      </c>
      <c r="N190" s="165">
        <f t="shared" si="54"/>
        <v>0</v>
      </c>
      <c r="O190" s="165">
        <f t="shared" ref="O190:Y190" si="55">O60+O69+O80+O99+O107+O121+O140+O150+O159+O181+O188</f>
        <v>0</v>
      </c>
      <c r="P190" s="165">
        <f t="shared" si="55"/>
        <v>0</v>
      </c>
      <c r="Q190" s="165">
        <f t="shared" si="55"/>
        <v>0</v>
      </c>
      <c r="R190" s="165">
        <f t="shared" si="55"/>
        <v>0</v>
      </c>
      <c r="S190" s="165">
        <f t="shared" si="55"/>
        <v>0</v>
      </c>
      <c r="T190" s="165">
        <f t="shared" si="55"/>
        <v>0</v>
      </c>
      <c r="U190" s="165">
        <f t="shared" si="55"/>
        <v>0</v>
      </c>
      <c r="V190" s="165">
        <f t="shared" si="55"/>
        <v>0</v>
      </c>
      <c r="W190" s="165">
        <f t="shared" si="55"/>
        <v>0</v>
      </c>
      <c r="X190" s="165">
        <f t="shared" si="55"/>
        <v>98090</v>
      </c>
      <c r="Y190" s="165">
        <f t="shared" si="55"/>
        <v>568806</v>
      </c>
      <c r="Z190" s="160">
        <f t="shared" si="53"/>
        <v>568806</v>
      </c>
    </row>
  </sheetData>
  <mergeCells count="65">
    <mergeCell ref="A169:Z169"/>
    <mergeCell ref="A170:Z170"/>
    <mergeCell ref="A171:Z171"/>
    <mergeCell ref="B172:C172"/>
    <mergeCell ref="D172:E172"/>
    <mergeCell ref="F172:H172"/>
    <mergeCell ref="I172:J172"/>
    <mergeCell ref="K172:L172"/>
    <mergeCell ref="M172:O172"/>
    <mergeCell ref="P172:Q172"/>
    <mergeCell ref="R172:T172"/>
    <mergeCell ref="V172:W172"/>
    <mergeCell ref="Z172:Z173"/>
    <mergeCell ref="P130:Q130"/>
    <mergeCell ref="R130:T130"/>
    <mergeCell ref="V130:W130"/>
    <mergeCell ref="Z130:Z131"/>
    <mergeCell ref="Z88:Z89"/>
    <mergeCell ref="A127:Z127"/>
    <mergeCell ref="A128:Z128"/>
    <mergeCell ref="A129:Z129"/>
    <mergeCell ref="B130:C130"/>
    <mergeCell ref="D130:E130"/>
    <mergeCell ref="F130:H130"/>
    <mergeCell ref="I130:J130"/>
    <mergeCell ref="K130:L130"/>
    <mergeCell ref="M130:O130"/>
    <mergeCell ref="A87:Z87"/>
    <mergeCell ref="B88:C88"/>
    <mergeCell ref="D88:E88"/>
    <mergeCell ref="F88:H88"/>
    <mergeCell ref="I88:J88"/>
    <mergeCell ref="K88:L88"/>
    <mergeCell ref="M88:O88"/>
    <mergeCell ref="P88:Q88"/>
    <mergeCell ref="R88:T88"/>
    <mergeCell ref="V88:W88"/>
    <mergeCell ref="A86:Z86"/>
    <mergeCell ref="B47:C47"/>
    <mergeCell ref="D47:E47"/>
    <mergeCell ref="F47:H47"/>
    <mergeCell ref="I47:J47"/>
    <mergeCell ref="K47:L47"/>
    <mergeCell ref="M47:O47"/>
    <mergeCell ref="P47:Q47"/>
    <mergeCell ref="R47:T47"/>
    <mergeCell ref="V47:W47"/>
    <mergeCell ref="Z47:Z48"/>
    <mergeCell ref="A85:Z85"/>
    <mergeCell ref="A46:Z46"/>
    <mergeCell ref="A1:Z1"/>
    <mergeCell ref="A2:Z2"/>
    <mergeCell ref="A3:Z3"/>
    <mergeCell ref="B4:C4"/>
    <mergeCell ref="D4:E4"/>
    <mergeCell ref="F4:H4"/>
    <mergeCell ref="I4:J4"/>
    <mergeCell ref="K4:L4"/>
    <mergeCell ref="M4:O4"/>
    <mergeCell ref="P4:Q4"/>
    <mergeCell ref="R4:T4"/>
    <mergeCell ref="V4:W4"/>
    <mergeCell ref="Z4:Z5"/>
    <mergeCell ref="A44:Z44"/>
    <mergeCell ref="A45:Z4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headerFooter scaleWithDoc="0"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topLeftCell="A19" workbookViewId="0">
      <selection activeCell="I13" sqref="I13"/>
    </sheetView>
  </sheetViews>
  <sheetFormatPr defaultColWidth="9.109375" defaultRowHeight="20.399999999999999"/>
  <cols>
    <col min="1" max="1" width="6" style="224" customWidth="1"/>
    <col min="2" max="2" width="8.6640625" style="224" customWidth="1"/>
    <col min="3" max="6" width="9.109375" style="225"/>
    <col min="7" max="7" width="9.33203125" style="225" customWidth="1"/>
    <col min="8" max="22" width="9.109375" style="225"/>
    <col min="23" max="23" width="9.109375" style="226"/>
    <col min="24" max="24" width="9.109375" style="222"/>
    <col min="25" max="25" width="9.109375" style="223"/>
    <col min="26" max="16384" width="9.109375" style="224"/>
  </cols>
  <sheetData>
    <row r="1" spans="1:26">
      <c r="A1" s="541" t="s">
        <v>290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</row>
    <row r="2" spans="1:26">
      <c r="A2" s="541" t="s">
        <v>197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</row>
    <row r="3" spans="1:26">
      <c r="A3" s="541" t="s">
        <v>291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41"/>
      <c r="T3" s="541"/>
      <c r="U3" s="541"/>
      <c r="V3" s="541"/>
      <c r="W3" s="541"/>
    </row>
    <row r="4" spans="1:26">
      <c r="A4" s="541" t="s">
        <v>292</v>
      </c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</row>
    <row r="6" spans="1:26">
      <c r="A6" s="227"/>
      <c r="B6" s="228"/>
      <c r="C6" s="229" t="s">
        <v>211</v>
      </c>
      <c r="D6" s="534" t="s">
        <v>200</v>
      </c>
      <c r="E6" s="535"/>
      <c r="F6" s="534" t="s">
        <v>201</v>
      </c>
      <c r="G6" s="535"/>
      <c r="H6" s="534" t="s">
        <v>202</v>
      </c>
      <c r="I6" s="535"/>
      <c r="J6" s="534" t="s">
        <v>203</v>
      </c>
      <c r="K6" s="535"/>
      <c r="L6" s="534" t="s">
        <v>204</v>
      </c>
      <c r="M6" s="535"/>
      <c r="N6" s="534" t="s">
        <v>205</v>
      </c>
      <c r="O6" s="536"/>
      <c r="P6" s="534" t="s">
        <v>206</v>
      </c>
      <c r="Q6" s="535"/>
      <c r="R6" s="534" t="s">
        <v>207</v>
      </c>
      <c r="S6" s="536"/>
      <c r="T6" s="229" t="s">
        <v>293</v>
      </c>
      <c r="U6" s="229" t="s">
        <v>209</v>
      </c>
      <c r="V6" s="229" t="s">
        <v>210</v>
      </c>
      <c r="W6" s="537" t="s">
        <v>54</v>
      </c>
    </row>
    <row r="7" spans="1:26">
      <c r="A7" s="230"/>
      <c r="B7" s="231"/>
      <c r="C7" s="229" t="s">
        <v>236</v>
      </c>
      <c r="D7" s="232" t="s">
        <v>213</v>
      </c>
      <c r="E7" s="233" t="s">
        <v>214</v>
      </c>
      <c r="F7" s="229" t="s">
        <v>215</v>
      </c>
      <c r="G7" s="229" t="s">
        <v>216</v>
      </c>
      <c r="H7" s="229" t="s">
        <v>217</v>
      </c>
      <c r="I7" s="229" t="s">
        <v>218</v>
      </c>
      <c r="J7" s="229" t="s">
        <v>220</v>
      </c>
      <c r="K7" s="229" t="s">
        <v>221</v>
      </c>
      <c r="L7" s="229" t="s">
        <v>222</v>
      </c>
      <c r="M7" s="229" t="s">
        <v>223</v>
      </c>
      <c r="N7" s="234" t="s">
        <v>224</v>
      </c>
      <c r="O7" s="229" t="s">
        <v>225</v>
      </c>
      <c r="P7" s="229" t="s">
        <v>227</v>
      </c>
      <c r="Q7" s="229" t="s">
        <v>228</v>
      </c>
      <c r="R7" s="229" t="s">
        <v>229</v>
      </c>
      <c r="S7" s="229" t="s">
        <v>230</v>
      </c>
      <c r="T7" s="229" t="s">
        <v>294</v>
      </c>
      <c r="U7" s="229" t="s">
        <v>233</v>
      </c>
      <c r="V7" s="229" t="s">
        <v>235</v>
      </c>
      <c r="W7" s="538"/>
    </row>
    <row r="8" spans="1:26">
      <c r="A8" s="235" t="s">
        <v>192</v>
      </c>
      <c r="B8" s="236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8"/>
    </row>
    <row r="9" spans="1:26">
      <c r="A9" s="235"/>
      <c r="B9" s="236" t="s">
        <v>295</v>
      </c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8">
        <f>SUM(C9:V9)</f>
        <v>0</v>
      </c>
    </row>
    <row r="10" spans="1:26">
      <c r="A10" s="235"/>
      <c r="B10" s="236" t="s">
        <v>296</v>
      </c>
      <c r="C10" s="237">
        <v>0</v>
      </c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8">
        <f t="shared" ref="W10:W16" si="0">SUM(C10:V10)</f>
        <v>0</v>
      </c>
    </row>
    <row r="11" spans="1:26">
      <c r="A11" s="235"/>
      <c r="B11" s="236" t="s">
        <v>297</v>
      </c>
      <c r="C11" s="237">
        <v>0</v>
      </c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>
        <f t="shared" si="0"/>
        <v>0</v>
      </c>
    </row>
    <row r="12" spans="1:26">
      <c r="A12" s="235"/>
      <c r="B12" s="236" t="s">
        <v>298</v>
      </c>
      <c r="C12" s="237">
        <v>0</v>
      </c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8">
        <f t="shared" si="0"/>
        <v>0</v>
      </c>
    </row>
    <row r="13" spans="1:26">
      <c r="A13" s="235"/>
      <c r="B13" s="236" t="s">
        <v>299</v>
      </c>
      <c r="C13" s="237">
        <v>0</v>
      </c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8">
        <f t="shared" si="0"/>
        <v>0</v>
      </c>
    </row>
    <row r="14" spans="1:26">
      <c r="A14" s="239"/>
      <c r="B14" s="236" t="s">
        <v>300</v>
      </c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8">
        <f t="shared" si="0"/>
        <v>0</v>
      </c>
    </row>
    <row r="15" spans="1:26" s="246" customFormat="1" ht="19.2">
      <c r="A15" s="240"/>
      <c r="B15" s="241" t="s">
        <v>237</v>
      </c>
      <c r="C15" s="242">
        <f>SUM(C9:C14)</f>
        <v>0</v>
      </c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3">
        <f>SUM(W9:W14)</f>
        <v>0</v>
      </c>
      <c r="X15" s="244"/>
      <c r="Y15" s="245"/>
    </row>
    <row r="16" spans="1:26" s="246" customFormat="1" ht="19.8" thickBot="1">
      <c r="A16" s="247"/>
      <c r="B16" s="248" t="s">
        <v>301</v>
      </c>
      <c r="C16" s="249">
        <f>0</f>
        <v>0</v>
      </c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50">
        <f t="shared" si="0"/>
        <v>0</v>
      </c>
      <c r="X16" s="244"/>
      <c r="Y16" s="245"/>
      <c r="Z16" s="251"/>
    </row>
    <row r="17" spans="1:26" ht="21" thickTop="1">
      <c r="A17" s="252" t="s">
        <v>132</v>
      </c>
      <c r="B17" s="253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5"/>
    </row>
    <row r="18" spans="1:26">
      <c r="A18" s="252"/>
      <c r="B18" s="253" t="s">
        <v>302</v>
      </c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38">
        <f t="shared" ref="W18:W24" si="1">SUM(C18:V18)</f>
        <v>0</v>
      </c>
      <c r="Y18" s="256"/>
    </row>
    <row r="19" spans="1:26">
      <c r="A19" s="239"/>
      <c r="B19" s="236" t="s">
        <v>303</v>
      </c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8">
        <f t="shared" si="1"/>
        <v>0</v>
      </c>
    </row>
    <row r="20" spans="1:26">
      <c r="A20" s="239"/>
      <c r="B20" s="236" t="s">
        <v>186</v>
      </c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8">
        <f t="shared" si="1"/>
        <v>0</v>
      </c>
    </row>
    <row r="21" spans="1:26">
      <c r="A21" s="239"/>
      <c r="B21" s="236" t="s">
        <v>166</v>
      </c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8">
        <f t="shared" si="1"/>
        <v>0</v>
      </c>
    </row>
    <row r="22" spans="1:26">
      <c r="A22" s="239"/>
      <c r="B22" s="236" t="s">
        <v>187</v>
      </c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8">
        <f t="shared" si="1"/>
        <v>0</v>
      </c>
    </row>
    <row r="23" spans="1:26" s="246" customFormat="1" ht="19.2">
      <c r="A23" s="240"/>
      <c r="B23" s="241" t="s">
        <v>237</v>
      </c>
      <c r="C23" s="242"/>
      <c r="D23" s="242">
        <f>SUM(D18:D22)</f>
        <v>0</v>
      </c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3">
        <f t="shared" si="1"/>
        <v>0</v>
      </c>
      <c r="X23" s="244"/>
      <c r="Y23" s="245"/>
    </row>
    <row r="24" spans="1:26" s="246" customFormat="1" ht="19.8" thickBot="1">
      <c r="A24" s="247"/>
      <c r="B24" s="248" t="s">
        <v>301</v>
      </c>
      <c r="C24" s="249"/>
      <c r="D24" s="249">
        <f>0</f>
        <v>0</v>
      </c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50">
        <f t="shared" si="1"/>
        <v>0</v>
      </c>
      <c r="X24" s="244"/>
      <c r="Y24" s="245"/>
      <c r="Z24" s="251"/>
    </row>
    <row r="25" spans="1:26" ht="21" thickTop="1">
      <c r="A25" s="257" t="s">
        <v>133</v>
      </c>
      <c r="B25" s="258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60"/>
    </row>
    <row r="26" spans="1:26">
      <c r="A26" s="261"/>
      <c r="B26" s="253" t="s">
        <v>304</v>
      </c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43">
        <f>SUM(C26:V26)</f>
        <v>0</v>
      </c>
    </row>
    <row r="27" spans="1:26">
      <c r="A27" s="261"/>
      <c r="B27" s="236" t="s">
        <v>305</v>
      </c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43">
        <f t="shared" ref="W27:W34" si="2">SUM(C27:V27)</f>
        <v>0</v>
      </c>
    </row>
    <row r="28" spans="1:26">
      <c r="A28" s="261"/>
      <c r="B28" s="236" t="s">
        <v>306</v>
      </c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43">
        <f t="shared" si="2"/>
        <v>0</v>
      </c>
    </row>
    <row r="29" spans="1:26">
      <c r="A29" s="261"/>
      <c r="B29" s="236" t="s">
        <v>307</v>
      </c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43">
        <f t="shared" si="2"/>
        <v>0</v>
      </c>
    </row>
    <row r="30" spans="1:26">
      <c r="A30" s="261"/>
      <c r="B30" s="236" t="s">
        <v>308</v>
      </c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43">
        <f t="shared" si="2"/>
        <v>0</v>
      </c>
    </row>
    <row r="31" spans="1:26">
      <c r="A31" s="261"/>
      <c r="B31" s="236" t="s">
        <v>309</v>
      </c>
      <c r="C31" s="254"/>
      <c r="D31" s="254"/>
      <c r="E31" s="254"/>
      <c r="F31" s="254"/>
      <c r="G31" s="254"/>
      <c r="H31" s="254">
        <v>0</v>
      </c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43">
        <f t="shared" si="2"/>
        <v>0</v>
      </c>
    </row>
    <row r="32" spans="1:26">
      <c r="A32" s="261"/>
      <c r="B32" s="253" t="s">
        <v>310</v>
      </c>
      <c r="C32" s="254"/>
      <c r="D32" s="254">
        <v>0</v>
      </c>
      <c r="E32" s="254">
        <v>0</v>
      </c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43">
        <f t="shared" si="2"/>
        <v>0</v>
      </c>
    </row>
    <row r="33" spans="1:26">
      <c r="A33" s="261"/>
      <c r="B33" s="253" t="s">
        <v>311</v>
      </c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43">
        <f t="shared" si="2"/>
        <v>0</v>
      </c>
    </row>
    <row r="34" spans="1:26">
      <c r="A34" s="261"/>
      <c r="B34" s="253" t="s">
        <v>312</v>
      </c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43">
        <f t="shared" si="2"/>
        <v>0</v>
      </c>
    </row>
    <row r="35" spans="1:26" s="246" customFormat="1" ht="19.2">
      <c r="A35" s="240"/>
      <c r="B35" s="241" t="s">
        <v>237</v>
      </c>
      <c r="C35" s="242"/>
      <c r="D35" s="242">
        <f>SUM(D26:D34)</f>
        <v>0</v>
      </c>
      <c r="E35" s="242">
        <f>SUM(E26:E34)</f>
        <v>0</v>
      </c>
      <c r="F35" s="242">
        <f t="shared" ref="F35:N35" si="3">SUM(F26:F34)</f>
        <v>0</v>
      </c>
      <c r="G35" s="242">
        <f t="shared" si="3"/>
        <v>0</v>
      </c>
      <c r="H35" s="242">
        <f t="shared" si="3"/>
        <v>0</v>
      </c>
      <c r="I35" s="242">
        <f t="shared" si="3"/>
        <v>0</v>
      </c>
      <c r="J35" s="242">
        <f t="shared" si="3"/>
        <v>0</v>
      </c>
      <c r="K35" s="242">
        <f t="shared" si="3"/>
        <v>0</v>
      </c>
      <c r="L35" s="242">
        <f t="shared" si="3"/>
        <v>0</v>
      </c>
      <c r="M35" s="242">
        <f t="shared" si="3"/>
        <v>0</v>
      </c>
      <c r="N35" s="242">
        <f t="shared" si="3"/>
        <v>0</v>
      </c>
      <c r="O35" s="242"/>
      <c r="P35" s="242"/>
      <c r="Q35" s="242"/>
      <c r="R35" s="242"/>
      <c r="S35" s="242"/>
      <c r="T35" s="242"/>
      <c r="U35" s="242"/>
      <c r="V35" s="242"/>
      <c r="W35" s="243">
        <f>SUM(C35:V35)</f>
        <v>0</v>
      </c>
      <c r="X35" s="244"/>
      <c r="Y35" s="245"/>
    </row>
    <row r="36" spans="1:26" s="246" customFormat="1" ht="19.8" thickBot="1">
      <c r="A36" s="247"/>
      <c r="B36" s="248" t="s">
        <v>301</v>
      </c>
      <c r="C36" s="249"/>
      <c r="D36" s="249"/>
      <c r="E36" s="249"/>
      <c r="F36" s="249"/>
      <c r="G36" s="249"/>
      <c r="H36" s="249">
        <v>0</v>
      </c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50">
        <f>SUM(C36:V36)</f>
        <v>0</v>
      </c>
      <c r="X36" s="244"/>
      <c r="Y36" s="245"/>
      <c r="Z36" s="251"/>
    </row>
    <row r="37" spans="1:26" s="267" customFormat="1" ht="21" thickTop="1">
      <c r="A37" s="262" t="s">
        <v>134</v>
      </c>
      <c r="B37" s="263"/>
      <c r="C37" s="264"/>
      <c r="D37" s="264"/>
      <c r="E37" s="264"/>
      <c r="F37" s="264"/>
      <c r="G37" s="264"/>
      <c r="H37" s="264" t="s">
        <v>272</v>
      </c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43">
        <f t="shared" ref="W37:W44" si="4">SUM(C37:V37)</f>
        <v>0</v>
      </c>
      <c r="X37" s="265"/>
      <c r="Y37" s="266"/>
    </row>
    <row r="38" spans="1:26" s="267" customFormat="1">
      <c r="A38" s="268"/>
      <c r="B38" s="269" t="s">
        <v>313</v>
      </c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43">
        <f t="shared" si="4"/>
        <v>0</v>
      </c>
      <c r="X38" s="265"/>
      <c r="Y38" s="266"/>
    </row>
    <row r="39" spans="1:26" s="267" customFormat="1">
      <c r="A39" s="268"/>
      <c r="B39" s="269" t="s">
        <v>314</v>
      </c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43">
        <f t="shared" si="4"/>
        <v>0</v>
      </c>
      <c r="X39" s="265"/>
      <c r="Y39" s="266"/>
    </row>
    <row r="40" spans="1:26" s="267" customFormat="1">
      <c r="A40" s="268"/>
      <c r="B40" s="269" t="s">
        <v>315</v>
      </c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  <c r="W40" s="243">
        <f t="shared" si="4"/>
        <v>0</v>
      </c>
      <c r="X40" s="265"/>
      <c r="Y40" s="266"/>
    </row>
    <row r="41" spans="1:26" s="267" customFormat="1">
      <c r="A41" s="268"/>
      <c r="B41" s="269" t="s">
        <v>316</v>
      </c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0"/>
      <c r="N41" s="270"/>
      <c r="O41" s="270"/>
      <c r="P41" s="270"/>
      <c r="Q41" s="270"/>
      <c r="R41" s="270"/>
      <c r="S41" s="270"/>
      <c r="T41" s="270"/>
      <c r="U41" s="270"/>
      <c r="V41" s="270"/>
      <c r="W41" s="243">
        <f t="shared" si="4"/>
        <v>0</v>
      </c>
      <c r="X41" s="265"/>
      <c r="Y41" s="266"/>
    </row>
    <row r="42" spans="1:26" s="267" customFormat="1">
      <c r="A42" s="268"/>
      <c r="B42" s="269" t="s">
        <v>317</v>
      </c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270"/>
      <c r="V42" s="270"/>
      <c r="W42" s="243">
        <f t="shared" si="4"/>
        <v>0</v>
      </c>
      <c r="X42" s="265"/>
      <c r="Y42" s="266"/>
    </row>
    <row r="43" spans="1:26" s="267" customFormat="1">
      <c r="A43" s="268"/>
      <c r="B43" s="269" t="s">
        <v>318</v>
      </c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43">
        <f t="shared" si="4"/>
        <v>0</v>
      </c>
      <c r="X43" s="265"/>
      <c r="Y43" s="266"/>
    </row>
    <row r="44" spans="1:26" s="276" customFormat="1" ht="19.2">
      <c r="A44" s="271"/>
      <c r="B44" s="272" t="s">
        <v>237</v>
      </c>
      <c r="C44" s="273"/>
      <c r="D44" s="273">
        <f>SUM(D38:D43)</f>
        <v>0</v>
      </c>
      <c r="E44" s="273">
        <f>SUM(E38:E43)</f>
        <v>0</v>
      </c>
      <c r="F44" s="273"/>
      <c r="G44" s="273"/>
      <c r="H44" s="273"/>
      <c r="I44" s="273"/>
      <c r="J44" s="273"/>
      <c r="K44" s="273"/>
      <c r="L44" s="273"/>
      <c r="M44" s="273"/>
      <c r="N44" s="273">
        <f>SUM(N38:N43)</f>
        <v>0</v>
      </c>
      <c r="O44" s="273"/>
      <c r="P44" s="273"/>
      <c r="Q44" s="273"/>
      <c r="R44" s="273"/>
      <c r="S44" s="273"/>
      <c r="T44" s="273"/>
      <c r="U44" s="273"/>
      <c r="V44" s="273"/>
      <c r="W44" s="243">
        <f t="shared" si="4"/>
        <v>0</v>
      </c>
      <c r="X44" s="274"/>
      <c r="Y44" s="275"/>
    </row>
    <row r="45" spans="1:26" s="276" customFormat="1" ht="19.8" thickBot="1">
      <c r="A45" s="277"/>
      <c r="B45" s="278" t="s">
        <v>301</v>
      </c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50">
        <f>SUM(C45:V45)</f>
        <v>0</v>
      </c>
      <c r="X45" s="280"/>
      <c r="Y45" s="275"/>
      <c r="Z45" s="251"/>
    </row>
    <row r="46" spans="1:26" ht="21" thickTop="1">
      <c r="A46" s="262" t="s">
        <v>135</v>
      </c>
      <c r="B46" s="263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81"/>
    </row>
    <row r="47" spans="1:26">
      <c r="A47" s="262"/>
      <c r="B47" s="263" t="s">
        <v>319</v>
      </c>
      <c r="C47" s="264"/>
      <c r="D47" s="264"/>
      <c r="E47" s="264"/>
      <c r="F47" s="282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81">
        <f>SUM(C47:V47)</f>
        <v>0</v>
      </c>
      <c r="Y47" s="256"/>
    </row>
    <row r="48" spans="1:26">
      <c r="A48" s="262"/>
      <c r="B48" s="263" t="s">
        <v>320</v>
      </c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81">
        <f>SUM(C48:V48)</f>
        <v>0</v>
      </c>
    </row>
    <row r="49" spans="1:28">
      <c r="A49" s="262"/>
      <c r="B49" s="263" t="s">
        <v>321</v>
      </c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81">
        <f>SUM(C49:V49)</f>
        <v>0</v>
      </c>
    </row>
    <row r="50" spans="1:28">
      <c r="A50" s="268"/>
      <c r="B50" s="269" t="s">
        <v>322</v>
      </c>
      <c r="C50" s="270"/>
      <c r="D50" s="270"/>
      <c r="E50" s="270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270"/>
      <c r="U50" s="270"/>
      <c r="V50" s="270"/>
      <c r="W50" s="283">
        <f>SUM(C50:V50)</f>
        <v>0</v>
      </c>
      <c r="AB50" s="284"/>
    </row>
    <row r="51" spans="1:28" s="291" customFormat="1" ht="19.2">
      <c r="A51" s="285"/>
      <c r="B51" s="286" t="s">
        <v>237</v>
      </c>
      <c r="C51" s="287"/>
      <c r="D51" s="287">
        <f>SUM(D47:D50)</f>
        <v>0</v>
      </c>
      <c r="E51" s="287">
        <f>SUM(E47:E50)</f>
        <v>0</v>
      </c>
      <c r="F51" s="287"/>
      <c r="G51" s="287">
        <f>SUM(G47:G50)</f>
        <v>0</v>
      </c>
      <c r="H51" s="287">
        <f>SUM(H47:H50)</f>
        <v>0</v>
      </c>
      <c r="I51" s="287">
        <f>SUM(I47:I50)</f>
        <v>0</v>
      </c>
      <c r="J51" s="287">
        <f>SUM(J47:J50)</f>
        <v>0</v>
      </c>
      <c r="K51" s="287">
        <f>SUM(K47:K50)</f>
        <v>0</v>
      </c>
      <c r="L51" s="287"/>
      <c r="M51" s="287"/>
      <c r="N51" s="287">
        <f t="shared" ref="N51:S51" si="5">SUM(N47:N50)</f>
        <v>0</v>
      </c>
      <c r="O51" s="287">
        <f t="shared" si="5"/>
        <v>0</v>
      </c>
      <c r="P51" s="287">
        <f t="shared" si="5"/>
        <v>0</v>
      </c>
      <c r="Q51" s="287">
        <f t="shared" si="5"/>
        <v>0</v>
      </c>
      <c r="R51" s="287">
        <f t="shared" si="5"/>
        <v>0</v>
      </c>
      <c r="S51" s="287">
        <f t="shared" si="5"/>
        <v>0</v>
      </c>
      <c r="T51" s="287"/>
      <c r="U51" s="287"/>
      <c r="V51" s="287">
        <f>SUM(V47:V50)</f>
        <v>0</v>
      </c>
      <c r="W51" s="288">
        <f>SUM(W47:W50)</f>
        <v>0</v>
      </c>
      <c r="X51" s="289"/>
      <c r="Y51" s="290"/>
    </row>
    <row r="52" spans="1:28" s="291" customFormat="1" ht="19.8" thickBot="1">
      <c r="A52" s="292"/>
      <c r="B52" s="293" t="s">
        <v>301</v>
      </c>
      <c r="C52" s="294"/>
      <c r="D52" s="294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5"/>
      <c r="X52" s="289"/>
      <c r="Y52" s="290"/>
      <c r="Z52" s="251"/>
      <c r="AA52" s="296"/>
    </row>
    <row r="53" spans="1:28" s="299" customFormat="1" ht="21" thickTop="1">
      <c r="A53" s="262" t="s">
        <v>136</v>
      </c>
      <c r="B53" s="263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81"/>
      <c r="X53" s="297"/>
      <c r="Y53" s="298"/>
      <c r="Z53" s="224"/>
    </row>
    <row r="54" spans="1:28" s="299" customFormat="1">
      <c r="A54" s="262"/>
      <c r="B54" s="263" t="s">
        <v>323</v>
      </c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81">
        <f t="shared" ref="W54:W66" si="6">SUM(C54:V54)</f>
        <v>0</v>
      </c>
      <c r="X54" s="297"/>
      <c r="Y54" s="298"/>
      <c r="Z54" s="224"/>
    </row>
    <row r="55" spans="1:28" s="299" customFormat="1">
      <c r="A55" s="262"/>
      <c r="B55" s="263" t="s">
        <v>324</v>
      </c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81"/>
      <c r="X55" s="297"/>
      <c r="Y55" s="298"/>
    </row>
    <row r="56" spans="1:28" s="299" customFormat="1">
      <c r="A56" s="262"/>
      <c r="B56" s="263" t="s">
        <v>325</v>
      </c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81">
        <f t="shared" si="6"/>
        <v>0</v>
      </c>
      <c r="X56" s="297"/>
      <c r="Y56" s="300"/>
    </row>
    <row r="57" spans="1:28" s="299" customFormat="1">
      <c r="A57" s="262"/>
      <c r="B57" s="263" t="s">
        <v>326</v>
      </c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81"/>
      <c r="X57" s="297"/>
      <c r="Y57" s="300"/>
    </row>
    <row r="58" spans="1:28" s="299" customFormat="1">
      <c r="A58" s="262"/>
      <c r="B58" s="263" t="s">
        <v>327</v>
      </c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81">
        <f t="shared" si="6"/>
        <v>0</v>
      </c>
      <c r="X58" s="297"/>
      <c r="Y58" s="300"/>
    </row>
    <row r="59" spans="1:28" s="299" customFormat="1">
      <c r="A59" s="262"/>
      <c r="B59" s="263" t="s">
        <v>328</v>
      </c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81">
        <f t="shared" si="6"/>
        <v>0</v>
      </c>
      <c r="X59" s="297"/>
      <c r="Y59" s="300"/>
    </row>
    <row r="60" spans="1:28" s="299" customFormat="1">
      <c r="A60" s="262"/>
      <c r="B60" s="263" t="s">
        <v>329</v>
      </c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81">
        <f t="shared" si="6"/>
        <v>0</v>
      </c>
      <c r="X60" s="297"/>
      <c r="Y60" s="300"/>
    </row>
    <row r="61" spans="1:28" s="299" customFormat="1">
      <c r="A61" s="262"/>
      <c r="B61" s="263" t="s">
        <v>330</v>
      </c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81">
        <f t="shared" si="6"/>
        <v>0</v>
      </c>
      <c r="X61" s="297"/>
      <c r="Y61" s="300"/>
    </row>
    <row r="62" spans="1:28" s="299" customFormat="1">
      <c r="A62" s="262"/>
      <c r="B62" s="263" t="s">
        <v>331</v>
      </c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81">
        <f t="shared" si="6"/>
        <v>0</v>
      </c>
      <c r="X62" s="297"/>
      <c r="Y62" s="300"/>
    </row>
    <row r="63" spans="1:28" s="299" customFormat="1">
      <c r="A63" s="262"/>
      <c r="B63" s="263" t="s">
        <v>332</v>
      </c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81">
        <f t="shared" si="6"/>
        <v>0</v>
      </c>
      <c r="X63" s="297"/>
      <c r="Y63" s="300"/>
    </row>
    <row r="64" spans="1:28" s="299" customFormat="1">
      <c r="A64" s="262"/>
      <c r="B64" s="263" t="s">
        <v>333</v>
      </c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81">
        <f t="shared" si="6"/>
        <v>0</v>
      </c>
      <c r="X64" s="297"/>
      <c r="Y64" s="300"/>
    </row>
    <row r="65" spans="1:27" s="299" customFormat="1">
      <c r="A65" s="262"/>
      <c r="B65" s="263" t="s">
        <v>334</v>
      </c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81">
        <f t="shared" si="6"/>
        <v>0</v>
      </c>
      <c r="X65" s="297"/>
      <c r="Y65" s="300"/>
    </row>
    <row r="66" spans="1:27" s="299" customFormat="1">
      <c r="A66" s="262"/>
      <c r="B66" s="263" t="s">
        <v>335</v>
      </c>
      <c r="C66" s="264"/>
      <c r="D66" s="264"/>
      <c r="E66" s="264"/>
      <c r="F66" s="264"/>
      <c r="G66" s="264"/>
      <c r="H66" s="264">
        <v>0</v>
      </c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>
        <v>0</v>
      </c>
      <c r="W66" s="281">
        <f t="shared" si="6"/>
        <v>0</v>
      </c>
      <c r="X66" s="297"/>
      <c r="Y66" s="300"/>
    </row>
    <row r="67" spans="1:27" s="304" customFormat="1" ht="19.2">
      <c r="A67" s="271"/>
      <c r="B67" s="272" t="s">
        <v>237</v>
      </c>
      <c r="C67" s="273"/>
      <c r="D67" s="273">
        <f>SUM(D54:D64)</f>
        <v>0</v>
      </c>
      <c r="E67" s="273">
        <f t="shared" ref="E67:M67" si="7">SUM(E54:E66)</f>
        <v>0</v>
      </c>
      <c r="F67" s="273">
        <f t="shared" si="7"/>
        <v>0</v>
      </c>
      <c r="G67" s="273">
        <f t="shared" si="7"/>
        <v>0</v>
      </c>
      <c r="H67" s="273">
        <f t="shared" si="7"/>
        <v>0</v>
      </c>
      <c r="I67" s="273">
        <f t="shared" si="7"/>
        <v>0</v>
      </c>
      <c r="J67" s="273">
        <f t="shared" si="7"/>
        <v>0</v>
      </c>
      <c r="K67" s="273">
        <f t="shared" si="7"/>
        <v>0</v>
      </c>
      <c r="L67" s="273">
        <f t="shared" si="7"/>
        <v>0</v>
      </c>
      <c r="M67" s="273">
        <f t="shared" si="7"/>
        <v>0</v>
      </c>
      <c r="N67" s="273">
        <f>SUM(N54:N66)</f>
        <v>0</v>
      </c>
      <c r="O67" s="273"/>
      <c r="P67" s="273"/>
      <c r="Q67" s="273"/>
      <c r="R67" s="273"/>
      <c r="S67" s="273">
        <f>SUM(S54:S65)</f>
        <v>0</v>
      </c>
      <c r="T67" s="273"/>
      <c r="U67" s="273">
        <f>SUM(U53:U66)</f>
        <v>0</v>
      </c>
      <c r="V67" s="273">
        <f>SUM(V53:V66)</f>
        <v>0</v>
      </c>
      <c r="W67" s="301">
        <f>SUM(C67:V67)</f>
        <v>0</v>
      </c>
      <c r="X67" s="302"/>
      <c r="Y67" s="303"/>
    </row>
    <row r="68" spans="1:27" s="304" customFormat="1" ht="19.8" thickBot="1">
      <c r="A68" s="277"/>
      <c r="B68" s="278" t="s">
        <v>301</v>
      </c>
      <c r="C68" s="279"/>
      <c r="D68" s="279">
        <f>0</f>
        <v>0</v>
      </c>
      <c r="E68" s="279">
        <f>0</f>
        <v>0</v>
      </c>
      <c r="F68" s="279"/>
      <c r="G68" s="279"/>
      <c r="H68" s="279"/>
      <c r="I68" s="279"/>
      <c r="J68" s="279"/>
      <c r="K68" s="279"/>
      <c r="L68" s="279">
        <v>0</v>
      </c>
      <c r="M68" s="279"/>
      <c r="N68" s="279"/>
      <c r="O68" s="279"/>
      <c r="P68" s="279"/>
      <c r="Q68" s="279"/>
      <c r="R68" s="279"/>
      <c r="S68" s="279">
        <v>0</v>
      </c>
      <c r="T68" s="279"/>
      <c r="U68" s="279"/>
      <c r="V68" s="279">
        <v>0</v>
      </c>
      <c r="W68" s="305">
        <f>SUM(C68:V68)</f>
        <v>0</v>
      </c>
      <c r="X68" s="302" t="s">
        <v>336</v>
      </c>
      <c r="Y68" s="303"/>
      <c r="Z68" s="251"/>
      <c r="AA68" s="306"/>
    </row>
    <row r="69" spans="1:27" ht="21" thickTop="1">
      <c r="A69" s="252" t="s">
        <v>137</v>
      </c>
      <c r="B69" s="253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5"/>
    </row>
    <row r="70" spans="1:27">
      <c r="A70" s="252"/>
      <c r="B70" s="253" t="s">
        <v>337</v>
      </c>
      <c r="C70" s="254"/>
      <c r="D70" s="254"/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5">
        <f>SUM(C70:V70)</f>
        <v>0</v>
      </c>
    </row>
    <row r="71" spans="1:27">
      <c r="A71" s="252"/>
      <c r="B71" s="253" t="s">
        <v>338</v>
      </c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5">
        <f>SUM(C71:V71)</f>
        <v>0</v>
      </c>
    </row>
    <row r="72" spans="1:27">
      <c r="A72" s="252"/>
      <c r="B72" s="253" t="s">
        <v>339</v>
      </c>
      <c r="C72" s="254"/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5">
        <f>SUM(C72:V72)</f>
        <v>0</v>
      </c>
    </row>
    <row r="73" spans="1:27">
      <c r="A73" s="252"/>
      <c r="B73" s="253" t="s">
        <v>340</v>
      </c>
      <c r="C73" s="254"/>
      <c r="D73" s="254"/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5">
        <f>SUM(C73:V73)</f>
        <v>0</v>
      </c>
    </row>
    <row r="74" spans="1:27" s="246" customFormat="1" ht="19.2">
      <c r="A74" s="240"/>
      <c r="B74" s="241" t="s">
        <v>237</v>
      </c>
      <c r="C74" s="242">
        <f>SUM(C70:C73)</f>
        <v>0</v>
      </c>
      <c r="D74" s="242">
        <f>SUM(D70:D73)</f>
        <v>0</v>
      </c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>
        <f>SUM(V70:V73)</f>
        <v>0</v>
      </c>
      <c r="W74" s="243">
        <f>SUM(C74:V74)</f>
        <v>0</v>
      </c>
      <c r="X74" s="244"/>
      <c r="Y74" s="245"/>
    </row>
    <row r="75" spans="1:27" s="246" customFormat="1" ht="19.8" thickBot="1">
      <c r="A75" s="247"/>
      <c r="B75" s="248" t="s">
        <v>301</v>
      </c>
      <c r="C75" s="249">
        <v>0</v>
      </c>
      <c r="D75" s="249">
        <f>0</f>
        <v>0</v>
      </c>
      <c r="E75" s="249"/>
      <c r="F75" s="249"/>
      <c r="G75" s="249"/>
      <c r="H75" s="249"/>
      <c r="I75" s="249"/>
      <c r="J75" s="249"/>
      <c r="K75" s="249"/>
      <c r="L75" s="249"/>
      <c r="M75" s="249"/>
      <c r="N75" s="249"/>
      <c r="O75" s="249"/>
      <c r="P75" s="249"/>
      <c r="Q75" s="249"/>
      <c r="R75" s="249"/>
      <c r="S75" s="249"/>
      <c r="T75" s="249"/>
      <c r="U75" s="249"/>
      <c r="V75" s="249"/>
      <c r="W75" s="250"/>
      <c r="X75" s="244" t="s">
        <v>341</v>
      </c>
      <c r="Y75" s="245"/>
      <c r="Z75" s="251"/>
      <c r="AA75" s="251"/>
    </row>
    <row r="76" spans="1:27" s="299" customFormat="1" ht="21" thickTop="1">
      <c r="A76" s="262" t="s">
        <v>138</v>
      </c>
      <c r="B76" s="263"/>
      <c r="C76" s="264"/>
      <c r="D76" s="264"/>
      <c r="E76" s="264"/>
      <c r="F76" s="264"/>
      <c r="G76" s="264"/>
      <c r="H76" s="264"/>
      <c r="I76" s="264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81"/>
      <c r="X76" s="297" t="s">
        <v>342</v>
      </c>
      <c r="Y76" s="300"/>
    </row>
    <row r="77" spans="1:27" s="299" customFormat="1" ht="21" thickBot="1">
      <c r="A77" s="262"/>
      <c r="B77" s="263" t="s">
        <v>343</v>
      </c>
      <c r="C77" s="264"/>
      <c r="D77" s="264"/>
      <c r="E77" s="264"/>
      <c r="F77" s="264"/>
      <c r="G77" s="264"/>
      <c r="H77" s="264"/>
      <c r="I77" s="264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81">
        <f t="shared" ref="W77:W84" si="8">SUM(C77:V77)</f>
        <v>0</v>
      </c>
      <c r="X77" s="297" t="s">
        <v>54</v>
      </c>
      <c r="Y77" s="307"/>
    </row>
    <row r="78" spans="1:27" s="299" customFormat="1" ht="21" thickTop="1">
      <c r="A78" s="262"/>
      <c r="B78" s="263" t="s">
        <v>344</v>
      </c>
      <c r="C78" s="264"/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81">
        <f t="shared" si="8"/>
        <v>0</v>
      </c>
      <c r="X78" s="297"/>
      <c r="Y78" s="300"/>
    </row>
    <row r="79" spans="1:27" s="299" customFormat="1">
      <c r="A79" s="262"/>
      <c r="B79" s="263" t="s">
        <v>345</v>
      </c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81">
        <f t="shared" si="8"/>
        <v>0</v>
      </c>
      <c r="X79" s="297"/>
      <c r="Y79" s="300"/>
    </row>
    <row r="80" spans="1:27" s="299" customFormat="1">
      <c r="A80" s="262"/>
      <c r="B80" s="263" t="s">
        <v>346</v>
      </c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81">
        <f t="shared" si="8"/>
        <v>0</v>
      </c>
      <c r="X80" s="297"/>
      <c r="Y80" s="300"/>
    </row>
    <row r="81" spans="1:27" s="299" customFormat="1">
      <c r="A81" s="262"/>
      <c r="B81" s="263" t="s">
        <v>347</v>
      </c>
      <c r="C81" s="264"/>
      <c r="D81" s="264"/>
      <c r="E81" s="264"/>
      <c r="F81" s="264"/>
      <c r="G81" s="264"/>
      <c r="H81" s="264"/>
      <c r="I81" s="264"/>
      <c r="J81" s="264"/>
      <c r="K81" s="264"/>
      <c r="L81" s="264"/>
      <c r="M81" s="264"/>
      <c r="N81" s="264"/>
      <c r="O81" s="264"/>
      <c r="P81" s="264"/>
      <c r="Q81" s="264"/>
      <c r="R81" s="264"/>
      <c r="S81" s="264"/>
      <c r="T81" s="264"/>
      <c r="U81" s="264"/>
      <c r="V81" s="264"/>
      <c r="W81" s="281"/>
      <c r="X81" s="297"/>
      <c r="Y81" s="300"/>
    </row>
    <row r="82" spans="1:27" s="299" customFormat="1">
      <c r="A82" s="262"/>
      <c r="B82" s="263" t="s">
        <v>348</v>
      </c>
      <c r="C82" s="264"/>
      <c r="D82" s="264"/>
      <c r="E82" s="264"/>
      <c r="F82" s="264"/>
      <c r="G82" s="264"/>
      <c r="H82" s="264"/>
      <c r="I82" s="264"/>
      <c r="J82" s="264"/>
      <c r="K82" s="264"/>
      <c r="L82" s="264"/>
      <c r="M82" s="264"/>
      <c r="N82" s="264"/>
      <c r="O82" s="264"/>
      <c r="P82" s="264"/>
      <c r="Q82" s="264"/>
      <c r="R82" s="264"/>
      <c r="S82" s="264"/>
      <c r="T82" s="264"/>
      <c r="U82" s="264"/>
      <c r="V82" s="264"/>
      <c r="W82" s="281">
        <f t="shared" si="8"/>
        <v>0</v>
      </c>
      <c r="X82" s="297"/>
      <c r="Y82" s="300"/>
    </row>
    <row r="83" spans="1:27" s="304" customFormat="1" ht="19.2">
      <c r="A83" s="271"/>
      <c r="B83" s="272" t="s">
        <v>237</v>
      </c>
      <c r="C83" s="273">
        <f>SUM(C77:C82)</f>
        <v>0</v>
      </c>
      <c r="D83" s="273">
        <f>SUM(D77:D82)</f>
        <v>0</v>
      </c>
      <c r="E83" s="273">
        <f>SUM(E77:E82)</f>
        <v>0</v>
      </c>
      <c r="F83" s="273">
        <f>SUM(F77:F82)</f>
        <v>0</v>
      </c>
      <c r="G83" s="273">
        <f>SUM(G77:G82)</f>
        <v>0</v>
      </c>
      <c r="H83" s="273"/>
      <c r="I83" s="273"/>
      <c r="J83" s="273"/>
      <c r="K83" s="273"/>
      <c r="L83" s="273"/>
      <c r="M83" s="273"/>
      <c r="N83" s="273">
        <f>SUM(N77:N82)</f>
        <v>0</v>
      </c>
      <c r="O83" s="273"/>
      <c r="P83" s="273"/>
      <c r="Q83" s="273"/>
      <c r="R83" s="273"/>
      <c r="S83" s="273"/>
      <c r="T83" s="273"/>
      <c r="U83" s="273"/>
      <c r="V83" s="273"/>
      <c r="W83" s="301">
        <f t="shared" si="8"/>
        <v>0</v>
      </c>
      <c r="X83" s="302"/>
      <c r="Y83" s="303"/>
    </row>
    <row r="84" spans="1:27" s="304" customFormat="1" ht="19.8" thickBot="1">
      <c r="A84" s="277"/>
      <c r="B84" s="278" t="s">
        <v>301</v>
      </c>
      <c r="C84" s="279">
        <v>0</v>
      </c>
      <c r="D84" s="279">
        <f>0</f>
        <v>0</v>
      </c>
      <c r="E84" s="279"/>
      <c r="F84" s="279"/>
      <c r="G84" s="279"/>
      <c r="H84" s="279"/>
      <c r="I84" s="279"/>
      <c r="J84" s="279"/>
      <c r="K84" s="279"/>
      <c r="L84" s="279"/>
      <c r="M84" s="279"/>
      <c r="N84" s="279"/>
      <c r="O84" s="279"/>
      <c r="P84" s="279"/>
      <c r="Q84" s="279"/>
      <c r="R84" s="279"/>
      <c r="S84" s="279"/>
      <c r="T84" s="279"/>
      <c r="U84" s="279"/>
      <c r="V84" s="279"/>
      <c r="W84" s="305">
        <f t="shared" si="8"/>
        <v>0</v>
      </c>
      <c r="X84" s="302" t="s">
        <v>349</v>
      </c>
      <c r="Y84" s="303"/>
      <c r="Z84" s="251"/>
      <c r="AA84" s="251"/>
    </row>
    <row r="85" spans="1:27" ht="21" thickTop="1">
      <c r="A85" s="252" t="s">
        <v>139</v>
      </c>
      <c r="C85" s="254"/>
      <c r="D85" s="254"/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5">
        <f>SUM(C85:V85)</f>
        <v>0</v>
      </c>
    </row>
    <row r="86" spans="1:27">
      <c r="A86" s="252"/>
      <c r="B86" s="253" t="s">
        <v>350</v>
      </c>
      <c r="C86" s="254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5">
        <f>SUM(C86:V86)</f>
        <v>0</v>
      </c>
    </row>
    <row r="87" spans="1:27">
      <c r="A87" s="252"/>
      <c r="B87" s="253" t="s">
        <v>118</v>
      </c>
      <c r="C87" s="254"/>
      <c r="D87" s="254"/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  <c r="V87" s="254"/>
      <c r="W87" s="255">
        <f>SUM(C87:V87)</f>
        <v>0</v>
      </c>
    </row>
    <row r="88" spans="1:27" s="246" customFormat="1" ht="19.2">
      <c r="A88" s="240"/>
      <c r="B88" s="241" t="s">
        <v>237</v>
      </c>
      <c r="C88" s="242"/>
      <c r="D88" s="242">
        <f>SUM(D85:D87)</f>
        <v>0</v>
      </c>
      <c r="E88" s="242"/>
      <c r="F88" s="242">
        <f>SUM(F85:F87)</f>
        <v>0</v>
      </c>
      <c r="G88" s="242">
        <f>SUM(G85:G87)</f>
        <v>0</v>
      </c>
      <c r="H88" s="242">
        <f>SUM(H85:H87)</f>
        <v>0</v>
      </c>
      <c r="I88" s="242"/>
      <c r="J88" s="242"/>
      <c r="K88" s="242"/>
      <c r="L88" s="242"/>
      <c r="M88" s="242"/>
      <c r="N88" s="242">
        <v>0</v>
      </c>
      <c r="O88" s="242">
        <f>SUM(O85:O87)</f>
        <v>0</v>
      </c>
      <c r="P88" s="242"/>
      <c r="Q88" s="242">
        <f t="shared" ref="Q88:V88" si="9">SUM(Q85:Q87)</f>
        <v>0</v>
      </c>
      <c r="R88" s="242">
        <f t="shared" si="9"/>
        <v>0</v>
      </c>
      <c r="S88" s="242">
        <f t="shared" si="9"/>
        <v>0</v>
      </c>
      <c r="T88" s="242">
        <f t="shared" si="9"/>
        <v>0</v>
      </c>
      <c r="U88" s="242">
        <f t="shared" si="9"/>
        <v>0</v>
      </c>
      <c r="V88" s="242">
        <f t="shared" si="9"/>
        <v>0</v>
      </c>
      <c r="W88" s="243">
        <f>SUM(C88:V88)</f>
        <v>0</v>
      </c>
      <c r="X88" s="244"/>
      <c r="Y88" s="245"/>
    </row>
    <row r="89" spans="1:27" s="246" customFormat="1" ht="19.8" thickBot="1">
      <c r="A89" s="247"/>
      <c r="B89" s="248" t="s">
        <v>301</v>
      </c>
      <c r="C89" s="249"/>
      <c r="D89" s="249"/>
      <c r="E89" s="249"/>
      <c r="F89" s="249"/>
      <c r="G89" s="249"/>
      <c r="H89" s="249"/>
      <c r="I89" s="249"/>
      <c r="J89" s="249"/>
      <c r="K89" s="249"/>
      <c r="L89" s="249"/>
      <c r="M89" s="249"/>
      <c r="N89" s="249">
        <v>0</v>
      </c>
      <c r="O89" s="249"/>
      <c r="P89" s="249"/>
      <c r="Q89" s="249"/>
      <c r="R89" s="249"/>
      <c r="S89" s="249"/>
      <c r="T89" s="249"/>
      <c r="U89" s="249"/>
      <c r="V89" s="249"/>
      <c r="W89" s="250"/>
      <c r="X89" s="244" t="s">
        <v>351</v>
      </c>
      <c r="Y89" s="245"/>
      <c r="Z89" s="251"/>
      <c r="AA89" s="251"/>
    </row>
    <row r="90" spans="1:27" ht="21" thickTop="1">
      <c r="A90" s="252" t="s">
        <v>352</v>
      </c>
      <c r="B90" s="253"/>
      <c r="C90" s="254"/>
      <c r="D90" s="254"/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54"/>
      <c r="P90" s="254"/>
      <c r="Q90" s="254"/>
      <c r="R90" s="254"/>
      <c r="S90" s="254"/>
      <c r="T90" s="254"/>
      <c r="U90" s="254"/>
      <c r="V90" s="254"/>
      <c r="W90" s="255"/>
    </row>
    <row r="91" spans="1:27">
      <c r="A91" s="252"/>
      <c r="B91" s="253" t="s">
        <v>353</v>
      </c>
      <c r="C91" s="254"/>
      <c r="D91" s="254"/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54"/>
      <c r="P91" s="254"/>
      <c r="Q91" s="254"/>
      <c r="R91" s="254"/>
      <c r="S91" s="254"/>
      <c r="T91" s="254"/>
      <c r="U91" s="254"/>
      <c r="V91" s="254"/>
      <c r="W91" s="255">
        <f>SUM(C91:V91)</f>
        <v>0</v>
      </c>
    </row>
    <row r="92" spans="1:27">
      <c r="A92" s="252"/>
      <c r="B92" s="253" t="s">
        <v>354</v>
      </c>
      <c r="C92" s="254"/>
      <c r="D92" s="254"/>
      <c r="E92" s="254"/>
      <c r="F92" s="254"/>
      <c r="G92" s="254"/>
      <c r="H92" s="254"/>
      <c r="I92" s="254"/>
      <c r="J92" s="254"/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5">
        <f>SUM(C92:V92)</f>
        <v>0</v>
      </c>
    </row>
    <row r="93" spans="1:27">
      <c r="A93" s="252"/>
      <c r="B93" s="253" t="s">
        <v>355</v>
      </c>
      <c r="C93" s="254"/>
      <c r="D93" s="254"/>
      <c r="E93" s="254"/>
      <c r="F93" s="254"/>
      <c r="G93" s="254"/>
      <c r="H93" s="254"/>
      <c r="I93" s="254"/>
      <c r="J93" s="254"/>
      <c r="K93" s="254"/>
      <c r="L93" s="254"/>
      <c r="M93" s="254"/>
      <c r="N93" s="254"/>
      <c r="O93" s="254"/>
      <c r="P93" s="254"/>
      <c r="Q93" s="254"/>
      <c r="R93" s="254"/>
      <c r="S93" s="254"/>
      <c r="T93" s="254"/>
      <c r="U93" s="254"/>
      <c r="V93" s="254"/>
      <c r="W93" s="255">
        <f>SUM(C93:V93)</f>
        <v>0</v>
      </c>
    </row>
    <row r="94" spans="1:27" s="246" customFormat="1" ht="19.2">
      <c r="A94" s="240"/>
      <c r="B94" s="241" t="s">
        <v>237</v>
      </c>
      <c r="C94" s="242"/>
      <c r="D94" s="242">
        <f>SUM(D91:D93)</f>
        <v>0</v>
      </c>
      <c r="E94" s="242"/>
      <c r="F94" s="242">
        <f>SUM(F92:F93)</f>
        <v>0</v>
      </c>
      <c r="G94" s="242"/>
      <c r="H94" s="242">
        <f>SUM(H91:H93)</f>
        <v>0</v>
      </c>
      <c r="I94" s="242">
        <f>SUM(I90:I93)</f>
        <v>0</v>
      </c>
      <c r="J94" s="242">
        <f>SUM(J90:J93)</f>
        <v>0</v>
      </c>
      <c r="K94" s="242"/>
      <c r="L94" s="242"/>
      <c r="M94" s="242"/>
      <c r="N94" s="242">
        <f>SUM(N92:N93)</f>
        <v>0</v>
      </c>
      <c r="O94" s="242">
        <f>SUM(O92:O93)</f>
        <v>0</v>
      </c>
      <c r="P94" s="242"/>
      <c r="Q94" s="242">
        <f>SUM(Q92:Q93)</f>
        <v>0</v>
      </c>
      <c r="R94" s="242">
        <f>SUM(R92:R93)</f>
        <v>0</v>
      </c>
      <c r="S94" s="242">
        <f>SUM(S92:S93)</f>
        <v>0</v>
      </c>
      <c r="T94" s="242"/>
      <c r="U94" s="242"/>
      <c r="V94" s="242"/>
      <c r="W94" s="243">
        <f>SUM(C94:V94)</f>
        <v>0</v>
      </c>
      <c r="X94" s="244"/>
      <c r="Y94" s="245"/>
    </row>
    <row r="95" spans="1:27" s="246" customFormat="1" ht="19.8" thickBot="1">
      <c r="A95" s="247"/>
      <c r="B95" s="248" t="s">
        <v>301</v>
      </c>
      <c r="C95" s="249"/>
      <c r="D95" s="249"/>
      <c r="E95" s="249"/>
      <c r="F95" s="249"/>
      <c r="G95" s="249"/>
      <c r="H95" s="249"/>
      <c r="I95" s="249"/>
      <c r="J95" s="249"/>
      <c r="K95" s="249"/>
      <c r="L95" s="249"/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250">
        <f>SUM(C95:V95)</f>
        <v>0</v>
      </c>
      <c r="X95" s="244" t="s">
        <v>11</v>
      </c>
      <c r="Y95" s="245"/>
      <c r="Z95" s="251"/>
      <c r="AA95" s="251"/>
    </row>
    <row r="96" spans="1:27" ht="21" thickTop="1">
      <c r="A96" s="252" t="s">
        <v>193</v>
      </c>
      <c r="B96" s="253"/>
      <c r="C96" s="254"/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5"/>
      <c r="Y96" s="256"/>
    </row>
    <row r="97" spans="1:27">
      <c r="A97" s="252"/>
      <c r="B97" s="253" t="s">
        <v>140</v>
      </c>
      <c r="C97" s="254"/>
      <c r="D97" s="254"/>
      <c r="E97" s="254"/>
      <c r="F97" s="254"/>
      <c r="G97" s="254">
        <v>0</v>
      </c>
      <c r="H97" s="254"/>
      <c r="I97" s="254"/>
      <c r="J97" s="254"/>
      <c r="K97" s="254"/>
      <c r="L97" s="254"/>
      <c r="M97" s="254"/>
      <c r="N97" s="254"/>
      <c r="O97" s="254"/>
      <c r="P97" s="254"/>
      <c r="Q97" s="254"/>
      <c r="R97" s="254"/>
      <c r="S97" s="254"/>
      <c r="T97" s="254"/>
      <c r="U97" s="254"/>
      <c r="V97" s="254"/>
      <c r="W97" s="255">
        <f>SUM(C97:V97)</f>
        <v>0</v>
      </c>
      <c r="Y97" s="256"/>
    </row>
    <row r="98" spans="1:27">
      <c r="A98" s="252"/>
      <c r="B98" s="253" t="s">
        <v>356</v>
      </c>
      <c r="C98" s="254"/>
      <c r="D98" s="254"/>
      <c r="E98" s="254"/>
      <c r="F98" s="254"/>
      <c r="G98" s="254"/>
      <c r="H98" s="254"/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5">
        <f>SUM(C98:V98)</f>
        <v>0</v>
      </c>
      <c r="Y98" s="256"/>
    </row>
    <row r="99" spans="1:27" s="246" customFormat="1" ht="19.2">
      <c r="A99" s="240"/>
      <c r="B99" s="241" t="s">
        <v>237</v>
      </c>
      <c r="C99" s="242"/>
      <c r="D99" s="242">
        <f>SUM(D97:D98)</f>
        <v>0</v>
      </c>
      <c r="E99" s="242">
        <f>SUM(E97:E98)</f>
        <v>0</v>
      </c>
      <c r="F99" s="242">
        <f>SUM(F97:F98)</f>
        <v>0</v>
      </c>
      <c r="G99" s="242">
        <f>SUM(G97:G98)</f>
        <v>0</v>
      </c>
      <c r="H99" s="242">
        <f>H98</f>
        <v>0</v>
      </c>
      <c r="I99" s="242">
        <f>SUM(I97:I98)</f>
        <v>0</v>
      </c>
      <c r="J99" s="242"/>
      <c r="K99" s="242"/>
      <c r="L99" s="242"/>
      <c r="M99" s="242">
        <f>SUM(M98)</f>
        <v>0</v>
      </c>
      <c r="N99" s="242"/>
      <c r="O99" s="242"/>
      <c r="P99" s="242"/>
      <c r="Q99" s="242"/>
      <c r="R99" s="242"/>
      <c r="S99" s="242"/>
      <c r="T99" s="242"/>
      <c r="U99" s="242"/>
      <c r="V99" s="242"/>
      <c r="W99" s="243">
        <f>SUM(C99:V99)</f>
        <v>0</v>
      </c>
      <c r="X99" s="244"/>
      <c r="Y99" s="245"/>
    </row>
    <row r="100" spans="1:27" s="246" customFormat="1" ht="19.8" thickBot="1">
      <c r="A100" s="247"/>
      <c r="B100" s="248" t="s">
        <v>301</v>
      </c>
      <c r="C100" s="249"/>
      <c r="D100" s="249">
        <v>0</v>
      </c>
      <c r="E100" s="249"/>
      <c r="F100" s="249"/>
      <c r="G100" s="249"/>
      <c r="H100" s="249"/>
      <c r="I100" s="249"/>
      <c r="J100" s="249"/>
      <c r="K100" s="249"/>
      <c r="L100" s="249"/>
      <c r="M100" s="249"/>
      <c r="N100" s="249"/>
      <c r="O100" s="249"/>
      <c r="P100" s="249"/>
      <c r="Q100" s="249"/>
      <c r="R100" s="249"/>
      <c r="S100" s="249"/>
      <c r="T100" s="249"/>
      <c r="U100" s="249"/>
      <c r="V100" s="249"/>
      <c r="W100" s="250">
        <f>SUM(C100:V100)</f>
        <v>0</v>
      </c>
      <c r="X100" s="244" t="s">
        <v>66</v>
      </c>
      <c r="Y100" s="245"/>
      <c r="Z100" s="251"/>
      <c r="AA100" s="251"/>
    </row>
    <row r="101" spans="1:27" s="311" customFormat="1" ht="21.6" thickTop="1" thickBot="1">
      <c r="A101" s="539" t="s">
        <v>357</v>
      </c>
      <c r="B101" s="540"/>
      <c r="C101" s="308">
        <f t="shared" ref="C101:V101" si="10">C16+C24+C36+C45+C52+C68+C75+C84+C89+C95+C100</f>
        <v>0</v>
      </c>
      <c r="D101" s="308">
        <f t="shared" si="10"/>
        <v>0</v>
      </c>
      <c r="E101" s="308">
        <f t="shared" si="10"/>
        <v>0</v>
      </c>
      <c r="F101" s="308">
        <f t="shared" si="10"/>
        <v>0</v>
      </c>
      <c r="G101" s="308">
        <f t="shared" si="10"/>
        <v>0</v>
      </c>
      <c r="H101" s="308">
        <f t="shared" si="10"/>
        <v>0</v>
      </c>
      <c r="I101" s="308">
        <f t="shared" si="10"/>
        <v>0</v>
      </c>
      <c r="J101" s="308">
        <f t="shared" si="10"/>
        <v>0</v>
      </c>
      <c r="K101" s="308">
        <f t="shared" si="10"/>
        <v>0</v>
      </c>
      <c r="L101" s="308">
        <f t="shared" si="10"/>
        <v>0</v>
      </c>
      <c r="M101" s="308">
        <f t="shared" si="10"/>
        <v>0</v>
      </c>
      <c r="N101" s="308">
        <f t="shared" si="10"/>
        <v>0</v>
      </c>
      <c r="O101" s="308">
        <f t="shared" si="10"/>
        <v>0</v>
      </c>
      <c r="P101" s="308">
        <f t="shared" si="10"/>
        <v>0</v>
      </c>
      <c r="Q101" s="308">
        <f t="shared" si="10"/>
        <v>0</v>
      </c>
      <c r="R101" s="308">
        <f t="shared" si="10"/>
        <v>0</v>
      </c>
      <c r="S101" s="308">
        <f t="shared" si="10"/>
        <v>0</v>
      </c>
      <c r="T101" s="308">
        <f t="shared" si="10"/>
        <v>0</v>
      </c>
      <c r="U101" s="308">
        <f t="shared" si="10"/>
        <v>0</v>
      </c>
      <c r="V101" s="308">
        <f t="shared" si="10"/>
        <v>0</v>
      </c>
      <c r="W101" s="308">
        <f>W16+W24+W36+W45+W52+W68+W75+W84+W89+W95+W100</f>
        <v>0</v>
      </c>
      <c r="X101" s="309"/>
      <c r="Y101" s="310"/>
    </row>
    <row r="102" spans="1:27" ht="21" thickTop="1"/>
    <row r="103" spans="1:27">
      <c r="H103" s="312" t="s">
        <v>358</v>
      </c>
      <c r="L103" s="312" t="s">
        <v>358</v>
      </c>
      <c r="P103" s="312" t="s">
        <v>358</v>
      </c>
    </row>
    <row r="104" spans="1:27" ht="21" thickBot="1">
      <c r="B104" s="224" t="s">
        <v>359</v>
      </c>
      <c r="C104" s="313" t="e">
        <f>+C16+C24+C36+#REF!+C45+C52+C68+C75+#REF!+C84+C89+C100</f>
        <v>#REF!</v>
      </c>
      <c r="D104" s="313" t="e">
        <f>+D16+D24+D36+#REF!+D45+D52+D68+D75+#REF!+D84+D89+D100</f>
        <v>#REF!</v>
      </c>
      <c r="E104" s="313" t="e">
        <f>+E16+E24+E36+#REF!+E45+E52+E68+E75+#REF!+E84+E89+E100</f>
        <v>#REF!</v>
      </c>
      <c r="F104" s="313"/>
      <c r="G104" s="313"/>
      <c r="H104" s="312" t="s">
        <v>360</v>
      </c>
      <c r="I104" s="313"/>
      <c r="J104" s="313"/>
      <c r="K104" s="313"/>
      <c r="L104" s="312" t="s">
        <v>361</v>
      </c>
      <c r="M104" s="313"/>
      <c r="N104" s="313"/>
      <c r="O104" s="312" t="s">
        <v>362</v>
      </c>
      <c r="P104" s="313"/>
      <c r="Q104" s="313"/>
      <c r="R104" s="313"/>
      <c r="S104" s="313" t="e">
        <f>+S16+S24+S36+#REF!+S45+S52+S68+S75+#REF!+S84+S89+S100</f>
        <v>#REF!</v>
      </c>
      <c r="T104" s="313" t="e">
        <f>+T16+T24+T36+#REF!+T45+T52+T68+T75+#REF!+T84+T89+T100</f>
        <v>#REF!</v>
      </c>
      <c r="U104" s="313"/>
      <c r="V104" s="313" t="e">
        <f>+V16+V24+V36+#REF!+V45+V52+V68+V75+#REF!+V84+V89+V100</f>
        <v>#REF!</v>
      </c>
      <c r="W104" s="314" t="e">
        <f>+W16+W24+W36+#REF!+W45+W52+W68+W75+#REF!+W84+W89+W100</f>
        <v>#REF!</v>
      </c>
    </row>
    <row r="105" spans="1:27" ht="21" thickTop="1">
      <c r="H105" s="312" t="s">
        <v>363</v>
      </c>
      <c r="L105" s="312" t="s">
        <v>364</v>
      </c>
      <c r="O105" s="312" t="s">
        <v>365</v>
      </c>
      <c r="T105" s="312" t="s">
        <v>366</v>
      </c>
      <c r="W105" s="315">
        <f>+[1]รายงานรับจ่ายเงินสด!B70</f>
        <v>12603701.57</v>
      </c>
    </row>
    <row r="106" spans="1:27">
      <c r="O106" s="225" t="s">
        <v>367</v>
      </c>
      <c r="T106" s="316" t="s">
        <v>368</v>
      </c>
      <c r="W106" s="317" t="e">
        <f>+[1]รายงานรับจ่ายเงินสด!#REF!</f>
        <v>#REF!</v>
      </c>
    </row>
    <row r="107" spans="1:27">
      <c r="T107" s="318" t="s">
        <v>291</v>
      </c>
      <c r="W107" s="315" t="e">
        <f>+W105-W106</f>
        <v>#REF!</v>
      </c>
    </row>
    <row r="108" spans="1:27">
      <c r="T108" s="319" t="s">
        <v>173</v>
      </c>
      <c r="W108" s="315" t="e">
        <f>+W107-W104</f>
        <v>#REF!</v>
      </c>
    </row>
    <row r="109" spans="1:27">
      <c r="T109" s="320"/>
      <c r="U109" s="321"/>
      <c r="V109" s="321"/>
      <c r="W109" s="322"/>
      <c r="X109" s="323"/>
    </row>
    <row r="110" spans="1:27">
      <c r="T110" s="320"/>
      <c r="U110" s="321"/>
      <c r="V110" s="321"/>
      <c r="W110" s="315"/>
      <c r="X110" s="323"/>
    </row>
    <row r="111" spans="1:27">
      <c r="T111" s="321"/>
      <c r="U111" s="321"/>
      <c r="V111" s="321"/>
      <c r="W111" s="324"/>
      <c r="X111" s="323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wincom</cp:lastModifiedBy>
  <cp:lastPrinted>2014-05-20T03:45:03Z</cp:lastPrinted>
  <dcterms:created xsi:type="dcterms:W3CDTF">2007-07-06T07:24:03Z</dcterms:created>
  <dcterms:modified xsi:type="dcterms:W3CDTF">2014-05-20T03:46:13Z</dcterms:modified>
</cp:coreProperties>
</file>