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8475" windowHeight="5895" firstSheet="2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F187" i="53"/>
  <c r="H187"/>
  <c r="I187"/>
  <c r="J187"/>
  <c r="K187"/>
  <c r="L187"/>
  <c r="F186"/>
  <c r="G186"/>
  <c r="H186"/>
  <c r="I186"/>
  <c r="J186"/>
  <c r="K186"/>
  <c r="L186"/>
  <c r="B92"/>
  <c r="B60"/>
  <c r="C60"/>
  <c r="C62"/>
  <c r="T62"/>
  <c r="D62"/>
  <c r="B54" l="1"/>
  <c r="C54"/>
  <c r="B55"/>
  <c r="C55"/>
  <c r="C30"/>
  <c r="B30"/>
  <c r="B19"/>
  <c r="Y12"/>
  <c r="E33" i="40"/>
  <c r="I33"/>
  <c r="I14"/>
  <c r="F14"/>
  <c r="F13"/>
  <c r="F11"/>
  <c r="E13" i="55"/>
  <c r="D45" i="54"/>
  <c r="D48"/>
  <c r="D44"/>
  <c r="D41"/>
  <c r="D42"/>
  <c r="D27"/>
  <c r="D24"/>
  <c r="D10"/>
  <c r="I36" i="52"/>
  <c r="I34"/>
  <c r="I30"/>
  <c r="G29"/>
  <c r="G18"/>
  <c r="G15" l="1"/>
  <c r="C67" i="35"/>
  <c r="C65"/>
  <c r="C23" l="1"/>
  <c r="C63"/>
  <c r="C70"/>
  <c r="C69"/>
  <c r="C62"/>
  <c r="C57"/>
  <c r="C56"/>
  <c r="C55"/>
  <c r="C54"/>
  <c r="C53"/>
  <c r="C52"/>
  <c r="C51"/>
  <c r="C50"/>
  <c r="C49"/>
  <c r="C25"/>
  <c r="H62"/>
  <c r="C17"/>
  <c r="C16"/>
  <c r="C15"/>
  <c r="C14"/>
  <c r="C13"/>
  <c r="C12"/>
  <c r="H17"/>
  <c r="B187" i="53"/>
  <c r="C187"/>
  <c r="D187"/>
  <c r="E187"/>
  <c r="D53" i="54" l="1"/>
  <c r="F61"/>
  <c r="C60" i="35"/>
  <c r="C21"/>
  <c r="Z12" i="53" l="1"/>
  <c r="E12" i="55"/>
  <c r="D51" i="54"/>
  <c r="D47"/>
  <c r="I33" i="52"/>
  <c r="C66" i="35"/>
  <c r="C28"/>
  <c r="C27"/>
  <c r="C18"/>
  <c r="D12" i="54"/>
  <c r="D40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J75" i="54"/>
  <c r="F60"/>
  <c r="F59"/>
  <c r="F58"/>
  <c r="F57"/>
  <c r="F56"/>
  <c r="F55"/>
  <c r="F54"/>
  <c r="F51"/>
  <c r="D50"/>
  <c r="C50"/>
  <c r="F48"/>
  <c r="F47"/>
  <c r="F46"/>
  <c r="F45"/>
  <c r="F44"/>
  <c r="F43"/>
  <c r="F42"/>
  <c r="F41"/>
  <c r="F40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77" i="53"/>
  <c r="W185"/>
  <c r="S185"/>
  <c r="O185"/>
  <c r="K185"/>
  <c r="G185"/>
  <c r="C185"/>
  <c r="Y184"/>
  <c r="Y185" s="1"/>
  <c r="X184"/>
  <c r="X185" s="1"/>
  <c r="W184"/>
  <c r="V184"/>
  <c r="V185" s="1"/>
  <c r="U184"/>
  <c r="U185" s="1"/>
  <c r="T184"/>
  <c r="T185" s="1"/>
  <c r="T186" s="1"/>
  <c r="S184"/>
  <c r="R184"/>
  <c r="R185" s="1"/>
  <c r="Q184"/>
  <c r="Q185" s="1"/>
  <c r="P184"/>
  <c r="P185" s="1"/>
  <c r="O184"/>
  <c r="N184"/>
  <c r="N185" s="1"/>
  <c r="M184"/>
  <c r="M185" s="1"/>
  <c r="L184"/>
  <c r="L185" s="1"/>
  <c r="K184"/>
  <c r="J184"/>
  <c r="J185" s="1"/>
  <c r="I184"/>
  <c r="I185" s="1"/>
  <c r="H184"/>
  <c r="H185" s="1"/>
  <c r="G184"/>
  <c r="F184"/>
  <c r="F185" s="1"/>
  <c r="E184"/>
  <c r="E185" s="1"/>
  <c r="D184"/>
  <c r="D185" s="1"/>
  <c r="C184"/>
  <c r="B184"/>
  <c r="B185" s="1"/>
  <c r="Z183"/>
  <c r="Z182"/>
  <c r="Z181"/>
  <c r="Z180"/>
  <c r="Z179"/>
  <c r="X178"/>
  <c r="T178"/>
  <c r="P178"/>
  <c r="J178"/>
  <c r="B178"/>
  <c r="Y177"/>
  <c r="X177"/>
  <c r="W177"/>
  <c r="V177"/>
  <c r="V178" s="1"/>
  <c r="U177"/>
  <c r="T177"/>
  <c r="S177"/>
  <c r="R177"/>
  <c r="R178" s="1"/>
  <c r="Q177"/>
  <c r="P177"/>
  <c r="O177"/>
  <c r="N177"/>
  <c r="N178" s="1"/>
  <c r="L177"/>
  <c r="L178" s="1"/>
  <c r="K177"/>
  <c r="J177"/>
  <c r="I177"/>
  <c r="H177"/>
  <c r="H178" s="1"/>
  <c r="G177"/>
  <c r="F177"/>
  <c r="F178" s="1"/>
  <c r="E177"/>
  <c r="D177"/>
  <c r="D178" s="1"/>
  <c r="D186" s="1"/>
  <c r="C177"/>
  <c r="B177"/>
  <c r="Z176"/>
  <c r="Z174"/>
  <c r="Z173"/>
  <c r="Z172"/>
  <c r="Z171"/>
  <c r="B35"/>
  <c r="Z35" s="1"/>
  <c r="W144"/>
  <c r="Y143"/>
  <c r="Y144" s="1"/>
  <c r="X143"/>
  <c r="X144" s="1"/>
  <c r="W143"/>
  <c r="V143"/>
  <c r="V144" s="1"/>
  <c r="U143"/>
  <c r="U144" s="1"/>
  <c r="T143"/>
  <c r="T144" s="1"/>
  <c r="S143"/>
  <c r="S144" s="1"/>
  <c r="R143"/>
  <c r="R144" s="1"/>
  <c r="Q143"/>
  <c r="Q144" s="1"/>
  <c r="P143"/>
  <c r="P144" s="1"/>
  <c r="O143"/>
  <c r="O144" s="1"/>
  <c r="N143"/>
  <c r="N144" s="1"/>
  <c r="M143"/>
  <c r="M144" s="1"/>
  <c r="L143"/>
  <c r="L144" s="1"/>
  <c r="K143"/>
  <c r="K144" s="1"/>
  <c r="J143"/>
  <c r="J144" s="1"/>
  <c r="I143"/>
  <c r="I144" s="1"/>
  <c r="H143"/>
  <c r="H144" s="1"/>
  <c r="G143"/>
  <c r="G144" s="1"/>
  <c r="F143"/>
  <c r="F144" s="1"/>
  <c r="E143"/>
  <c r="E144" s="1"/>
  <c r="D143"/>
  <c r="D144" s="1"/>
  <c r="C143"/>
  <c r="C144" s="1"/>
  <c r="B143"/>
  <c r="B144" s="1"/>
  <c r="Z142"/>
  <c r="Z141"/>
  <c r="Z140"/>
  <c r="Z139"/>
  <c r="Z138"/>
  <c r="Y136"/>
  <c r="Y137" s="1"/>
  <c r="X136"/>
  <c r="X137" s="1"/>
  <c r="W136"/>
  <c r="W137" s="1"/>
  <c r="V136"/>
  <c r="V137" s="1"/>
  <c r="U136"/>
  <c r="U137" s="1"/>
  <c r="T136"/>
  <c r="T137" s="1"/>
  <c r="S136"/>
  <c r="S137" s="1"/>
  <c r="R136"/>
  <c r="R137" s="1"/>
  <c r="Q136"/>
  <c r="Q137" s="1"/>
  <c r="P136"/>
  <c r="P137" s="1"/>
  <c r="O136"/>
  <c r="O137" s="1"/>
  <c r="N136"/>
  <c r="N137" s="1"/>
  <c r="M136"/>
  <c r="M137" s="1"/>
  <c r="L136"/>
  <c r="L137" s="1"/>
  <c r="K136"/>
  <c r="K137" s="1"/>
  <c r="J136"/>
  <c r="J137" s="1"/>
  <c r="I136"/>
  <c r="I137" s="1"/>
  <c r="H136"/>
  <c r="H137" s="1"/>
  <c r="G136"/>
  <c r="G137" s="1"/>
  <c r="F136"/>
  <c r="F137" s="1"/>
  <c r="E136"/>
  <c r="E137" s="1"/>
  <c r="D136"/>
  <c r="D137" s="1"/>
  <c r="C136"/>
  <c r="C137" s="1"/>
  <c r="B136"/>
  <c r="B137" s="1"/>
  <c r="Z135"/>
  <c r="Z133"/>
  <c r="Z132"/>
  <c r="Z131"/>
  <c r="Z130"/>
  <c r="A127"/>
  <c r="Y113"/>
  <c r="Y114" s="1"/>
  <c r="X113"/>
  <c r="X114" s="1"/>
  <c r="W113"/>
  <c r="W114" s="1"/>
  <c r="V113"/>
  <c r="V114" s="1"/>
  <c r="U113"/>
  <c r="U114" s="1"/>
  <c r="T113"/>
  <c r="T114" s="1"/>
  <c r="S113"/>
  <c r="S114" s="1"/>
  <c r="R113"/>
  <c r="R114" s="1"/>
  <c r="Q113"/>
  <c r="Q114" s="1"/>
  <c r="P113"/>
  <c r="P114" s="1"/>
  <c r="O113"/>
  <c r="O114" s="1"/>
  <c r="N113"/>
  <c r="N114" s="1"/>
  <c r="L113"/>
  <c r="L114" s="1"/>
  <c r="K113"/>
  <c r="K114" s="1"/>
  <c r="J113"/>
  <c r="J114" s="1"/>
  <c r="I113"/>
  <c r="I114" s="1"/>
  <c r="H113"/>
  <c r="H114" s="1"/>
  <c r="G113"/>
  <c r="G114" s="1"/>
  <c r="F113"/>
  <c r="F114" s="1"/>
  <c r="E113"/>
  <c r="E114" s="1"/>
  <c r="D113"/>
  <c r="D114" s="1"/>
  <c r="C113"/>
  <c r="C114" s="1"/>
  <c r="B113"/>
  <c r="Z112"/>
  <c r="Z111"/>
  <c r="M113"/>
  <c r="M114" s="1"/>
  <c r="Z110"/>
  <c r="Z109"/>
  <c r="Z108"/>
  <c r="Y106"/>
  <c r="Y107" s="1"/>
  <c r="X106"/>
  <c r="X107" s="1"/>
  <c r="W106"/>
  <c r="W107" s="1"/>
  <c r="V106"/>
  <c r="V107" s="1"/>
  <c r="U106"/>
  <c r="U107" s="1"/>
  <c r="T106"/>
  <c r="T107" s="1"/>
  <c r="S106"/>
  <c r="S107" s="1"/>
  <c r="R106"/>
  <c r="R107" s="1"/>
  <c r="Q106"/>
  <c r="Q107" s="1"/>
  <c r="P106"/>
  <c r="P107" s="1"/>
  <c r="O106"/>
  <c r="O107" s="1"/>
  <c r="N106"/>
  <c r="N107" s="1"/>
  <c r="M106"/>
  <c r="M107" s="1"/>
  <c r="L106"/>
  <c r="L107" s="1"/>
  <c r="K106"/>
  <c r="K107" s="1"/>
  <c r="J106"/>
  <c r="J107" s="1"/>
  <c r="I106"/>
  <c r="I107" s="1"/>
  <c r="H106"/>
  <c r="H107" s="1"/>
  <c r="G106"/>
  <c r="G107" s="1"/>
  <c r="F106"/>
  <c r="F107" s="1"/>
  <c r="E106"/>
  <c r="E107" s="1"/>
  <c r="D106"/>
  <c r="D107" s="1"/>
  <c r="C106"/>
  <c r="C107" s="1"/>
  <c r="B106"/>
  <c r="B107" s="1"/>
  <c r="Z105"/>
  <c r="Z104"/>
  <c r="Z103"/>
  <c r="Z102"/>
  <c r="Z101"/>
  <c r="Z100"/>
  <c r="Z99"/>
  <c r="Z98"/>
  <c r="Y97"/>
  <c r="W97"/>
  <c r="K97"/>
  <c r="X96"/>
  <c r="X97" s="1"/>
  <c r="V96"/>
  <c r="V97" s="1"/>
  <c r="U96"/>
  <c r="U97" s="1"/>
  <c r="T96"/>
  <c r="T97" s="1"/>
  <c r="S96"/>
  <c r="S97" s="1"/>
  <c r="R96"/>
  <c r="R97" s="1"/>
  <c r="Q96"/>
  <c r="Q97" s="1"/>
  <c r="P96"/>
  <c r="P97" s="1"/>
  <c r="O96"/>
  <c r="O97" s="1"/>
  <c r="N96"/>
  <c r="N97" s="1"/>
  <c r="M96"/>
  <c r="M97" s="1"/>
  <c r="L96"/>
  <c r="L97" s="1"/>
  <c r="K96"/>
  <c r="J96"/>
  <c r="J97" s="1"/>
  <c r="I96"/>
  <c r="I97" s="1"/>
  <c r="H96"/>
  <c r="H97" s="1"/>
  <c r="G96"/>
  <c r="G97" s="1"/>
  <c r="F96"/>
  <c r="F97" s="1"/>
  <c r="E96"/>
  <c r="E97" s="1"/>
  <c r="D96"/>
  <c r="D97" s="1"/>
  <c r="C96"/>
  <c r="C97" s="1"/>
  <c r="B96"/>
  <c r="Z95"/>
  <c r="Z93"/>
  <c r="Z92"/>
  <c r="Z91"/>
  <c r="Z90"/>
  <c r="Z89"/>
  <c r="A86"/>
  <c r="Y80"/>
  <c r="Y81" s="1"/>
  <c r="X80"/>
  <c r="X81" s="1"/>
  <c r="W80"/>
  <c r="W81" s="1"/>
  <c r="V80"/>
  <c r="V81" s="1"/>
  <c r="U80"/>
  <c r="U81" s="1"/>
  <c r="T80"/>
  <c r="T81" s="1"/>
  <c r="S80"/>
  <c r="S81" s="1"/>
  <c r="R80"/>
  <c r="R81" s="1"/>
  <c r="Q80"/>
  <c r="Q81" s="1"/>
  <c r="P80"/>
  <c r="P81" s="1"/>
  <c r="O80"/>
  <c r="O81" s="1"/>
  <c r="N80"/>
  <c r="N81" s="1"/>
  <c r="M80"/>
  <c r="M81" s="1"/>
  <c r="L80"/>
  <c r="L81" s="1"/>
  <c r="K80"/>
  <c r="K81" s="1"/>
  <c r="J80"/>
  <c r="J81" s="1"/>
  <c r="I80"/>
  <c r="I81" s="1"/>
  <c r="H80"/>
  <c r="H81" s="1"/>
  <c r="G80"/>
  <c r="F80"/>
  <c r="F81" s="1"/>
  <c r="E80"/>
  <c r="E81" s="1"/>
  <c r="D80"/>
  <c r="D81" s="1"/>
  <c r="C80"/>
  <c r="B80"/>
  <c r="Z79"/>
  <c r="Z78"/>
  <c r="Z77"/>
  <c r="Z76"/>
  <c r="Z74"/>
  <c r="Z73"/>
  <c r="Z72"/>
  <c r="Z71"/>
  <c r="Z70"/>
  <c r="Z69"/>
  <c r="Z68"/>
  <c r="Z67"/>
  <c r="G81"/>
  <c r="Z66"/>
  <c r="Y64"/>
  <c r="Y65" s="1"/>
  <c r="X64"/>
  <c r="X65" s="1"/>
  <c r="W64"/>
  <c r="W65" s="1"/>
  <c r="V64"/>
  <c r="V65" s="1"/>
  <c r="U64"/>
  <c r="U65" s="1"/>
  <c r="T64"/>
  <c r="T65" s="1"/>
  <c r="R64"/>
  <c r="R65" s="1"/>
  <c r="P64"/>
  <c r="P65" s="1"/>
  <c r="O64"/>
  <c r="O65" s="1"/>
  <c r="N64"/>
  <c r="N65" s="1"/>
  <c r="M64"/>
  <c r="M65" s="1"/>
  <c r="L64"/>
  <c r="L65" s="1"/>
  <c r="K64"/>
  <c r="K65" s="1"/>
  <c r="J64"/>
  <c r="J65" s="1"/>
  <c r="I64"/>
  <c r="I65" s="1"/>
  <c r="H64"/>
  <c r="H65" s="1"/>
  <c r="G64"/>
  <c r="G65" s="1"/>
  <c r="F64"/>
  <c r="F65" s="1"/>
  <c r="E64"/>
  <c r="E65" s="1"/>
  <c r="D64"/>
  <c r="D65" s="1"/>
  <c r="C64"/>
  <c r="C65" s="1"/>
  <c r="Z63"/>
  <c r="S64"/>
  <c r="S65" s="1"/>
  <c r="Z62"/>
  <c r="Z61"/>
  <c r="B64"/>
  <c r="Z59"/>
  <c r="Y56"/>
  <c r="Y57" s="1"/>
  <c r="X56"/>
  <c r="X57" s="1"/>
  <c r="W56"/>
  <c r="W57" s="1"/>
  <c r="V56"/>
  <c r="V57" s="1"/>
  <c r="U56"/>
  <c r="U57" s="1"/>
  <c r="T56"/>
  <c r="T57" s="1"/>
  <c r="S56"/>
  <c r="S57" s="1"/>
  <c r="R56"/>
  <c r="R57" s="1"/>
  <c r="Q56"/>
  <c r="Q57" s="1"/>
  <c r="P56"/>
  <c r="P57" s="1"/>
  <c r="O56"/>
  <c r="O57" s="1"/>
  <c r="N56"/>
  <c r="N57" s="1"/>
  <c r="M56"/>
  <c r="M57" s="1"/>
  <c r="L56"/>
  <c r="L57" s="1"/>
  <c r="K56"/>
  <c r="K57" s="1"/>
  <c r="J56"/>
  <c r="J57" s="1"/>
  <c r="I56"/>
  <c r="I57" s="1"/>
  <c r="H56"/>
  <c r="H57" s="1"/>
  <c r="G56"/>
  <c r="G57" s="1"/>
  <c r="F56"/>
  <c r="F57" s="1"/>
  <c r="E56"/>
  <c r="E57" s="1"/>
  <c r="D56"/>
  <c r="D57" s="1"/>
  <c r="C56"/>
  <c r="C57" s="1"/>
  <c r="B56"/>
  <c r="B57" s="1"/>
  <c r="Z55"/>
  <c r="Z54"/>
  <c r="Z53"/>
  <c r="Z52"/>
  <c r="Z51"/>
  <c r="Z50"/>
  <c r="Z49"/>
  <c r="Z48"/>
  <c r="A45"/>
  <c r="A168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Z28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Z19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C24" i="35"/>
  <c r="A56"/>
  <c r="A55"/>
  <c r="A60"/>
  <c r="A54"/>
  <c r="A58"/>
  <c r="A57"/>
  <c r="A53"/>
  <c r="A51"/>
  <c r="A52"/>
  <c r="I31" i="52"/>
  <c r="N187" i="53" l="1"/>
  <c r="N186"/>
  <c r="R187"/>
  <c r="R186"/>
  <c r="V187"/>
  <c r="V186"/>
  <c r="P187"/>
  <c r="X187"/>
  <c r="B186"/>
  <c r="X186"/>
  <c r="P186"/>
  <c r="T145"/>
  <c r="X145"/>
  <c r="Z177"/>
  <c r="Z178" s="1"/>
  <c r="Z184"/>
  <c r="Z185" s="1"/>
  <c r="F50" i="54"/>
  <c r="F29"/>
  <c r="F26"/>
  <c r="F23"/>
  <c r="F12"/>
  <c r="C7"/>
  <c r="C63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7" i="53"/>
  <c r="C178"/>
  <c r="G178"/>
  <c r="K178"/>
  <c r="O178"/>
  <c r="S178"/>
  <c r="W178"/>
  <c r="E178"/>
  <c r="I178"/>
  <c r="M178"/>
  <c r="M187" s="1"/>
  <c r="Q178"/>
  <c r="U178"/>
  <c r="Y178"/>
  <c r="X18"/>
  <c r="B37"/>
  <c r="B38" s="1"/>
  <c r="Z113"/>
  <c r="E146"/>
  <c r="I145"/>
  <c r="U145"/>
  <c r="Z143"/>
  <c r="Z144" s="1"/>
  <c r="H146"/>
  <c r="P145"/>
  <c r="Z136"/>
  <c r="Z137" s="1"/>
  <c r="W146"/>
  <c r="P18"/>
  <c r="U18"/>
  <c r="U146" s="1"/>
  <c r="X146"/>
  <c r="H145"/>
  <c r="L145"/>
  <c r="L18"/>
  <c r="L146" s="1"/>
  <c r="F145"/>
  <c r="J145"/>
  <c r="N145"/>
  <c r="R145"/>
  <c r="V145"/>
  <c r="I18"/>
  <c r="I146" s="1"/>
  <c r="N18"/>
  <c r="T18"/>
  <c r="B114"/>
  <c r="M145"/>
  <c r="J146"/>
  <c r="Z114"/>
  <c r="Z106"/>
  <c r="Z107" s="1"/>
  <c r="Z96"/>
  <c r="Z97" s="1"/>
  <c r="V146"/>
  <c r="S146"/>
  <c r="Z80"/>
  <c r="K146"/>
  <c r="B81"/>
  <c r="E145"/>
  <c r="G146"/>
  <c r="D145"/>
  <c r="O146"/>
  <c r="T146"/>
  <c r="P146"/>
  <c r="D146"/>
  <c r="N146"/>
  <c r="F146"/>
  <c r="Z17"/>
  <c r="Z18" s="1"/>
  <c r="Z26"/>
  <c r="Z27" s="1"/>
  <c r="Y18"/>
  <c r="Y146" s="1"/>
  <c r="Y145"/>
  <c r="M146"/>
  <c r="R146"/>
  <c r="B65"/>
  <c r="Z56"/>
  <c r="Z57" s="1"/>
  <c r="Q64"/>
  <c r="Q65" s="1"/>
  <c r="Q146" s="1"/>
  <c r="C81"/>
  <c r="C146" s="1"/>
  <c r="C145"/>
  <c r="G145"/>
  <c r="K145"/>
  <c r="O145"/>
  <c r="S145"/>
  <c r="W145"/>
  <c r="Z58"/>
  <c r="B97"/>
  <c r="Z60"/>
  <c r="Z64" s="1"/>
  <c r="I41" i="52"/>
  <c r="L41" s="1"/>
  <c r="Z37" i="53" l="1"/>
  <c r="Z145" s="1"/>
  <c r="B145"/>
  <c r="Z186"/>
  <c r="Z187" s="1"/>
  <c r="M186"/>
  <c r="S187"/>
  <c r="S186"/>
  <c r="C186"/>
  <c r="Q187"/>
  <c r="Q186"/>
  <c r="W187"/>
  <c r="W186"/>
  <c r="U187"/>
  <c r="U186"/>
  <c r="E186"/>
  <c r="Y187"/>
  <c r="Y186"/>
  <c r="O187"/>
  <c r="O186"/>
  <c r="F7" i="54"/>
  <c r="W101" i="56"/>
  <c r="W104"/>
  <c r="W108" s="1"/>
  <c r="D63" i="54"/>
  <c r="F63" s="1"/>
  <c r="B146" i="53"/>
  <c r="Z81"/>
  <c r="Z65"/>
  <c r="Q145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38" i="53" l="1"/>
  <c r="Z146" s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0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0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8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69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2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79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1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0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1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2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3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4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1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<sst xmlns="http://schemas.openxmlformats.org/spreadsheetml/2006/main" count="1018" uniqueCount="418">
  <si>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</si>
  <si>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</si>
  <si>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</si>
  <si>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</si>
  <si>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</si>
  <si>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</si>
  <si>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</si>
  <si>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</si>
  <si>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</si>
  <si>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</si>
  <si>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</si>
  <si>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</si>
  <si>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</si>
  <si>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</si>
  <si>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</si>
  <si>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</si>
  <si>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</si>
  <si>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</si>
  <si>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</si>
  <si>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</si>
  <si>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</si>
  <si>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</si>
  <si>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</si>
  <si>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เงินทุนเศรษฐกจิชุมชน (บัญชี 2)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</si>
  <si>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</si>
  <si>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</si>
  <si>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</si>
  <si>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</si>
  <si>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</si>
  <si>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</si>
  <si>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</si>
  <si>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</si>
  <si>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</si>
  <si>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</si>
  <si>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</si>
  <si>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</si>
  <si>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</si>
  <si>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</si>
  <si>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</si>
  <si>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</si>
  <si>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</si>
  <si>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</si>
  <si>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</si>
  <si>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</si>
  <si>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</si>
  <si>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</si>
  <si>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</si>
  <si>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</si>
  <si>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</si>
  <si>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</si>
  <si>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</si>
  <si>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</si>
  <si>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</si>
  <si>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</si>
  <si>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</si>
  <si>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</si>
  <si>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</si>
  <si>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</si>
  <si>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</si>
  <si>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</si>
  <si>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</si>
  <si>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</si>
  <si>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</si>
  <si>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</si>
  <si>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</si>
  <si>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</si>
  <si>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</si>
  <si>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</si>
  <si>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</si>
  <si>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</si>
  <si>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</si>
  <si>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</si>
  <si>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</si>
  <si>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</si>
  <si>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</si>
  <si>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</si>
  <si>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</si>
  <si>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</si>
  <si>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</si>
  <si>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</si>
  <si>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</si>
  <si>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</si>
  <si>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</si>
  <si>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</si>
  <si>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</si>
  <si>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</si>
  <si>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</si>
  <si>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</si>
  <si>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</si>
  <si>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</si>
  <si>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</si>
  <si>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</si>
  <si>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</si>
  <si>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</si>
  <si>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</si>
  <si>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</si>
  <si>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</si>
  <si>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</si>
  <si>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</si>
  <si>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</si>
  <si>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</si>
  <si>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</si>
  <si>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</si>
  <si>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</si>
  <si>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</si>
  <si>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</si>
  <si>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</si>
  <si>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</si>
  <si>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</si>
  <si>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</si>
  <si>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</si>
  <si>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</si>
  <si>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</si>
  <si>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</si>
  <si>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</si>
  <si>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</si>
  <si>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</si>
  <si>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</si>
  <si>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</si>
  <si>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</si>
  <si>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</si>
  <si>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</si>
  <si>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</si>
  <si>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</si>
  <si>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</si>
  <si>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</si>
  <si>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</si>
  <si>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</si>
  <si>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</si>
  <si>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</si>
  <si>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</si>
  <si>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</si>
  <si>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</si>
  <si>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</si>
  <si>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</si>
  <si>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</si>
  <si>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</si>
  <si>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</si>
  <si>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</si>
  <si>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</si>
  <si>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</si>
  <si>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</si>
  <si>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</si>
  <si>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</si>
  <si>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</si>
  <si>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</si>
  <si>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</si>
  <si>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</si>
  <si>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</si>
  <si>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</si>
  <si>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</si>
  <si>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</si>
  <si>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</si>
  <si>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</si>
  <si>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</si>
  <si>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</si>
  <si>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</si>
  <si>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</si>
  <si>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</si>
  <si>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</si>
  <si>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</si>
  <si>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</si>
  <si>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</si>
  <si>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</si>
  <si>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</si>
  <si>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</si>
  <si>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</si>
  <si>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</si>
  <si>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</si>
  <si>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</si>
  <si>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</si>
  <si>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</si>
  <si>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</si>
  <si>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</si>
  <si>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r>
      <t>หัก</t>
    </r>
    <r>
      <rPr>
        <b/>
        <sz val="14"/>
        <rFont val="Cordia New"/>
        <family val="2"/>
        <charset val="222"/>
      </rPr>
      <t xml:space="preserve">   </t>
    </r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</si>
  <si>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</si>
  <si>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</si>
  <si>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</si>
  <si>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</si>
  <si>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</si>
  <si>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</si>
  <si>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</si>
  <si>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</si>
  <si>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</si>
  <si>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</si>
  <si>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</si>
  <si>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</si>
  <si>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</si>
  <si>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</si>
  <si>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</si>
  <si>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</si>
  <si>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</si>
  <si>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</si>
  <si>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</si>
  <si>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</si>
  <si>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</si>
  <si>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</si>
  <si>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</si>
  <si>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</si>
  <si>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</si>
  <si>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</si>
  <si>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</si>
  <si>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</si>
  <si>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</si>
  <si>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</si>
  <si>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</si>
  <si>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</si>
  <si>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</si>
  <si>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</si>
  <si>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</si>
  <si>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</si>
  <si>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</si>
  <si>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 xml:space="preserve">                       -  ค่าน้ำประปา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</si>
  <si>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</si>
  <si>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</si>
  <si>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</si>
  <si>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</si>
  <si>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</si>
  <si>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</si>
  <si>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</si>
  <si>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</si>
  <si>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</si>
  <si>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</si>
  <si>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</si>
  <si>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</si>
  <si>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</si>
  <si>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</si>
  <si>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</si>
  <si>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</si>
  <si>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</si>
  <si>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</si>
  <si>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</si>
  <si>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</si>
  <si>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</si>
  <si>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</si>
  <si>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</si>
  <si>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</si>
  <si>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</si>
  <si>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</si>
  <si>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</si>
  <si>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</si>
  <si>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</si>
  <si>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</si>
  <si>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</si>
  <si>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</si>
  <si>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</si>
  <si>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</si>
  <si>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</si>
  <si>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</si>
  <si>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</si>
  <si>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</si>
  <si>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</si>
  <si>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</si>
  <si>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</si>
  <si>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</si>
  <si>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</si>
  <si>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</si>
  <si>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</si>
  <si>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</si>
  <si>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</si>
  <si>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</si>
  <si>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</si>
  <si>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</si>
  <si>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</si>
  <si>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</si>
  <si>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</si>
  <si>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</si>
  <si>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</si>
  <si>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</si>
  <si>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</si>
  <si>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</si>
  <si>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</si>
  <si>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</si>
  <si>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</si>
  <si>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</si>
  <si>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</si>
  <si>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</si>
  <si>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</si>
  <si>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</si>
  <si>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</si>
  <si>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</si>
  <si>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</si>
  <si>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</si>
  <si>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</si>
  <si>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</si>
  <si>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</si>
  <si>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</si>
  <si>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</si>
  <si>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</si>
  <si>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</si>
  <si>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</si>
  <si>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</si>
  <si>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</si>
  <si>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</si>
  <si>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</si>
  <si>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</si>
  <si>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</si>
  <si>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</si>
  <si>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</si>
  <si>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</si>
  <si>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</si>
  <si>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</si>
  <si>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</si>
  <si>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</si>
  <si>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</si>
  <si>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</si>
  <si>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</si>
  <si>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</si>
  <si>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</si>
  <si>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</si>
  <si>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</si>
  <si>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</si>
  <si>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</si>
  <si>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</si>
  <si>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</si>
  <si>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</si>
  <si>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</si>
  <si>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</si>
  <si>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</si>
  <si>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</si>
  <si>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</si>
  <si>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</si>
  <si>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</si>
  <si>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</si>
  <si>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</si>
  <si>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</si>
  <si>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</si>
  <si>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</si>
  <si>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</si>
  <si>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</si>
  <si>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</si>
  <si>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</si>
  <si>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</si>
  <si>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</si>
  <si>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</si>
  <si>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</si>
  <si>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</si>
  <si>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</si>
  <si>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</si>
  <si>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</si>
  <si>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</si>
  <si>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</si>
  <si>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</si>
  <si>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</si>
  <si>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</si>
  <si>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</si>
  <si>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</si>
  <si>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</si>
  <si>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</si>
  <si>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</si>
  <si>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</si>
  <si>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</si>
  <si>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</si>
  <si>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</si>
  <si>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</si>
  <si>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</si>
  <si>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</si>
  <si>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</si>
  <si>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</si>
  <si>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</si>
  <si>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</si>
  <si>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</si>
  <si>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</si>
  <si>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</si>
  <si>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</si>
  <si>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</si>
  <si>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</si>
  <si>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</si>
  <si>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</si>
  <si>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</si>
  <si>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</si>
  <si>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</si>
  <si>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</si>
  <si>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</si>
  <si>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</si>
  <si>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</si>
  <si>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</si>
  <si>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</si>
  <si>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</si>
  <si>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</si>
  <si>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</si>
  <si>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</si>
  <si>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</si>
  <si>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</si>
  <si>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</si>
  <si>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</si>
  <si>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</si>
  <si>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</si>
  <si>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</si>
  <si>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</si>
  <si>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</si>
  <si>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</si>
  <si>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</si>
  <si>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</si>
  <si>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</si>
  <si>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</si>
  <si>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</si>
  <si>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</si>
  <si>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</si>
  <si>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</si>
  <si>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</si>
  <si>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</si>
  <si>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</si>
  <si>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</si>
  <si>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 xml:space="preserve">                            ประจำเดือน มกราคม พ.ศ.2556    </t>
  </si>
  <si>
    <t>ประจำเดือนมกราคม  2556</t>
  </si>
  <si>
    <t>(นายประดับ  หมื่นจร)</t>
  </si>
  <si>
    <t>วันที่  31  มกราคม  2556</t>
  </si>
  <si>
    <t>ประจำเดือน  มกราคม  2556</t>
  </si>
  <si>
    <t>หมายเหตุประกอบงบทดลอง  ประจำเดือน  มกราคม  2556</t>
  </si>
  <si>
    <t>โครงการก่อสร้างอาคารศูนย์พัฒนาเด็กเล็ก บ้านทุ่งไม้ไผ่</t>
  </si>
  <si>
    <t>17/1/56</t>
  </si>
  <si>
    <t>23/1/56</t>
  </si>
  <si>
    <t>25/1/56</t>
  </si>
  <si>
    <t>29/1/56</t>
  </si>
  <si>
    <t>31/1/56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</si>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</sst>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</cellStyleXfs>
  <cellXfs count="52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6" fillId="0" borderId="0" xfId="4" applyFont="1"/>
    <xf numFmtId="43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 vertical="center"/>
    </xf>
    <xf numFmtId="43" fontId="17" fillId="0" borderId="14" xfId="1" applyNumberFormat="1" applyFont="1" applyFill="1" applyBorder="1"/>
    <xf numFmtId="43" fontId="17" fillId="0" borderId="14" xfId="1" applyNumberFormat="1" applyFont="1" applyFill="1" applyBorder="1" applyAlignment="1"/>
    <xf numFmtId="43" fontId="17" fillId="0" borderId="39" xfId="1" applyNumberFormat="1" applyFont="1" applyFill="1" applyBorder="1"/>
    <xf numFmtId="43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43" fontId="17" fillId="0" borderId="10" xfId="1" applyNumberFormat="1" applyFont="1" applyFill="1" applyBorder="1"/>
    <xf numFmtId="43" fontId="17" fillId="0" borderId="37" xfId="1" applyNumberFormat="1" applyFont="1" applyFill="1" applyBorder="1"/>
    <xf numFmtId="43" fontId="17" fillId="0" borderId="31" xfId="1" applyNumberFormat="1" applyFont="1" applyFill="1" applyBorder="1"/>
    <xf numFmtId="43" fontId="17" fillId="0" borderId="7" xfId="1" applyNumberFormat="1" applyFont="1" applyFill="1" applyBorder="1"/>
    <xf numFmtId="43" fontId="17" fillId="0" borderId="35" xfId="1" applyNumberFormat="1" applyFont="1" applyFill="1" applyBorder="1"/>
    <xf numFmtId="43" fontId="17" fillId="0" borderId="0" xfId="1" applyNumberFormat="1" applyFont="1" applyFill="1" applyBorder="1"/>
    <xf numFmtId="43" fontId="17" fillId="0" borderId="13" xfId="1" applyNumberFormat="1" applyFont="1" applyFill="1" applyBorder="1"/>
    <xf numFmtId="43" fontId="17" fillId="0" borderId="41" xfId="1" applyNumberFormat="1" applyFont="1" applyFill="1" applyBorder="1"/>
    <xf numFmtId="43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 vertical="center"/>
    </xf>
    <xf numFmtId="43" fontId="17" fillId="0" borderId="39" xfId="1" applyNumberFormat="1" applyFont="1" applyFill="1" applyBorder="1" applyAlignment="1">
      <alignment horizontal="center" vertical="center"/>
    </xf>
    <xf numFmtId="43" fontId="17" fillId="0" borderId="10" xfId="1" applyNumberFormat="1" applyFont="1" applyFill="1" applyBorder="1" applyAlignment="1">
      <alignment horizontal="right"/>
    </xf>
    <xf numFmtId="43" fontId="17" fillId="0" borderId="10" xfId="1" applyNumberFormat="1" applyFont="1" applyFill="1" applyBorder="1" applyAlignment="1">
      <alignment horizontal="center"/>
    </xf>
    <xf numFmtId="43" fontId="17" fillId="0" borderId="46" xfId="1" applyNumberFormat="1" applyFont="1" applyFill="1" applyBorder="1"/>
    <xf numFmtId="43" fontId="17" fillId="0" borderId="47" xfId="1" applyNumberFormat="1" applyFont="1" applyFill="1" applyBorder="1"/>
    <xf numFmtId="43" fontId="17" fillId="0" borderId="48" xfId="1" applyNumberFormat="1" applyFont="1" applyFill="1" applyBorder="1"/>
    <xf numFmtId="43" fontId="17" fillId="0" borderId="49" xfId="1" applyNumberFormat="1" applyFont="1" applyFill="1" applyBorder="1"/>
    <xf numFmtId="43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43" fontId="17" fillId="0" borderId="34" xfId="1" applyNumberFormat="1" applyFont="1" applyFill="1" applyBorder="1"/>
    <xf numFmtId="43" fontId="17" fillId="0" borderId="51" xfId="1" applyNumberFormat="1" applyFont="1" applyFill="1" applyBorder="1"/>
    <xf numFmtId="43" fontId="17" fillId="0" borderId="44" xfId="1" applyNumberFormat="1" applyFont="1" applyFill="1" applyBorder="1"/>
    <xf numFmtId="43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43" fontId="17" fillId="0" borderId="52" xfId="1" applyNumberFormat="1" applyFont="1" applyFill="1" applyBorder="1"/>
    <xf numFmtId="43" fontId="17" fillId="0" borderId="45" xfId="1" applyNumberFormat="1" applyFont="1" applyFill="1" applyBorder="1"/>
    <xf numFmtId="43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43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43" fontId="21" fillId="0" borderId="13" xfId="1" applyNumberFormat="1" applyFont="1" applyFill="1" applyBorder="1" applyAlignment="1"/>
    <xf numFmtId="0" fontId="21" fillId="0" borderId="0" xfId="0" applyFont="1" applyFill="1" applyBorder="1"/>
    <xf numFmtId="43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43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43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43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43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43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43" fontId="30" fillId="0" borderId="9" xfId="1" applyNumberFormat="1" applyFont="1" applyBorder="1" applyAlignment="1">
      <alignment horizontal="center" vertical="center" shrinkToFit="1"/>
    </xf>
    <xf numFmtId="43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43" fontId="35" fillId="0" borderId="9" xfId="1" applyNumberFormat="1" applyFont="1" applyBorder="1" applyAlignment="1">
      <alignment horizontal="center" vertical="center" shrinkToFit="1"/>
    </xf>
    <xf numFmtId="43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43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43" fontId="35" fillId="0" borderId="19" xfId="1" applyNumberFormat="1" applyFont="1" applyBorder="1" applyAlignment="1">
      <alignment horizontal="center" vertical="center" shrinkToFit="1"/>
    </xf>
    <xf numFmtId="43" fontId="36" fillId="0" borderId="19" xfId="1" applyNumberFormat="1" applyFont="1" applyBorder="1" applyAlignment="1">
      <alignment horizontal="center" vertical="center" shrinkToFit="1"/>
    </xf>
    <xf numFmtId="43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43" fontId="30" fillId="0" borderId="14" xfId="1" applyNumberFormat="1" applyFont="1" applyBorder="1" applyAlignment="1">
      <alignment horizontal="center" vertical="center" shrinkToFit="1"/>
    </xf>
    <xf numFmtId="43" fontId="31" fillId="0" borderId="14" xfId="1" applyNumberFormat="1" applyFont="1" applyBorder="1" applyAlignment="1">
      <alignment horizontal="center" vertical="center" shrinkToFit="1"/>
    </xf>
    <xf numFmtId="43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43" fontId="30" fillId="0" borderId="53" xfId="1" applyNumberFormat="1" applyFont="1" applyBorder="1" applyAlignment="1">
      <alignment horizontal="center" vertical="center" shrinkToFit="1"/>
    </xf>
    <xf numFmtId="43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43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43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43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43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43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43" fontId="35" fillId="0" borderId="19" xfId="1" applyNumberFormat="1" applyFont="1" applyFill="1" applyBorder="1" applyAlignment="1">
      <alignment horizontal="center" vertical="center" shrinkToFit="1"/>
    </xf>
    <xf numFmtId="43" fontId="35" fillId="2" borderId="0" xfId="0" applyNumberFormat="1" applyFont="1" applyFill="1" applyAlignment="1">
      <alignment horizontal="left"/>
    </xf>
    <xf numFmtId="43" fontId="31" fillId="0" borderId="14" xfId="1" applyNumberFormat="1" applyFont="1" applyFill="1" applyBorder="1" applyAlignment="1">
      <alignment horizontal="center" vertical="center" shrinkToFit="1"/>
    </xf>
    <xf numFmtId="43" fontId="37" fillId="0" borderId="14" xfId="1" applyNumberFormat="1" applyFont="1" applyFill="1" applyBorder="1" applyAlignment="1">
      <alignment horizontal="center" vertical="center" shrinkToFit="1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43" fontId="32" fillId="0" borderId="9" xfId="1" applyNumberFormat="1" applyFont="1" applyFill="1" applyBorder="1" applyAlignment="1">
      <alignment horizontal="center" vertical="center" shrinkToFit="1"/>
    </xf>
    <xf numFmtId="43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43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43" fontId="32" fillId="0" borderId="19" xfId="1" applyNumberFormat="1" applyFont="1" applyFill="1" applyBorder="1" applyAlignment="1">
      <alignment horizontal="center" vertical="center" shrinkToFit="1"/>
    </xf>
    <xf numFmtId="43" fontId="38" fillId="0" borderId="19" xfId="1" applyNumberFormat="1" applyFont="1" applyFill="1" applyBorder="1" applyAlignment="1">
      <alignment horizontal="center" vertical="center" shrinkToFit="1"/>
    </xf>
    <xf numFmtId="43" fontId="32" fillId="0" borderId="0" xfId="0" applyNumberFormat="1" applyFont="1"/>
    <xf numFmtId="0" fontId="30" fillId="0" borderId="0" xfId="0" applyFont="1" applyFill="1" applyAlignment="1">
      <alignment horizontal="left"/>
    </xf>
    <xf numFmtId="43" fontId="30" fillId="0" borderId="0" xfId="1" applyNumberFormat="1" applyFont="1" applyFill="1" applyBorder="1"/>
    <xf numFmtId="0" fontId="30" fillId="0" borderId="0" xfId="0" applyFont="1" applyFill="1"/>
    <xf numFmtId="43" fontId="30" fillId="0" borderId="0" xfId="1" applyNumberFormat="1" applyFont="1" applyFill="1"/>
    <xf numFmtId="43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43" fontId="35" fillId="0" borderId="0" xfId="1" applyNumberFormat="1" applyFont="1" applyFill="1"/>
    <xf numFmtId="0" fontId="35" fillId="0" borderId="0" xfId="0" applyFont="1" applyFill="1"/>
    <xf numFmtId="43" fontId="36" fillId="0" borderId="19" xfId="1" applyNumberFormat="1" applyFont="1" applyFill="1" applyBorder="1" applyAlignment="1">
      <alignment horizontal="center" vertical="center" shrinkToFit="1"/>
    </xf>
    <xf numFmtId="43" fontId="35" fillId="0" borderId="0" xfId="0" applyNumberFormat="1" applyFont="1" applyFill="1"/>
    <xf numFmtId="43" fontId="30" fillId="0" borderId="54" xfId="1" applyNumberFormat="1" applyFont="1" applyFill="1" applyBorder="1"/>
    <xf numFmtId="43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43" fontId="30" fillId="0" borderId="0" xfId="1" applyNumberFormat="1" applyFont="1" applyAlignment="1">
      <alignment shrinkToFit="1"/>
    </xf>
    <xf numFmtId="43" fontId="31" fillId="0" borderId="11" xfId="1" applyNumberFormat="1" applyFont="1" applyBorder="1" applyAlignment="1">
      <alignment shrinkToFit="1"/>
    </xf>
    <xf numFmtId="43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43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43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43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43" fontId="21" fillId="0" borderId="14" xfId="1" applyNumberFormat="1" applyFont="1" applyFill="1" applyBorder="1" applyAlignment="1"/>
    <xf numFmtId="43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3" fontId="23" fillId="0" borderId="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43" fontId="17" fillId="0" borderId="32" xfId="1" applyNumberFormat="1" applyFont="1" applyFill="1" applyBorder="1" applyAlignment="1">
      <alignment horizontal="center"/>
    </xf>
    <xf numFmtId="43" fontId="17" fillId="0" borderId="33" xfId="1" applyNumberFormat="1" applyFont="1" applyFill="1" applyBorder="1" applyAlignment="1">
      <alignment horizontal="center"/>
    </xf>
    <xf numFmtId="43" fontId="17" fillId="0" borderId="34" xfId="1" applyNumberFormat="1" applyFont="1" applyFill="1" applyBorder="1" applyAlignment="1">
      <alignment horizontal="center"/>
    </xf>
    <xf numFmtId="43" fontId="17" fillId="0" borderId="35" xfId="1" applyNumberFormat="1" applyFont="1" applyFill="1" applyBorder="1" applyAlignment="1">
      <alignment horizontal="center" vertical="center"/>
    </xf>
    <xf numFmtId="43" fontId="17" fillId="0" borderId="38" xfId="1" applyNumberFormat="1" applyFont="1" applyFill="1" applyBorder="1" applyAlignment="1">
      <alignment horizontal="center" vertical="center"/>
    </xf>
    <xf numFmtId="43" fontId="17" fillId="0" borderId="44" xfId="1" applyNumberFormat="1" applyFont="1" applyFill="1" applyBorder="1" applyAlignment="1">
      <alignment horizontal="center" vertical="center"/>
    </xf>
    <xf numFmtId="43" fontId="17" fillId="0" borderId="45" xfId="1" applyNumberFormat="1" applyFont="1" applyFill="1" applyBorder="1" applyAlignment="1">
      <alignment horizontal="center" vertic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230202</xdr:rowOff>
    </xdr:from>
    <xdr:to>
      <xdr:col>2</xdr:col>
      <xdr:colOff>82554</xdr:colOff>
      <xdr:row>44</xdr:row>
      <xdr:rowOff>230202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90503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238140</xdr:rowOff>
    </xdr:from>
    <xdr:to>
      <xdr:col>9</xdr:col>
      <xdr:colOff>428625</xdr:colOff>
      <xdr:row>44</xdr:row>
      <xdr:rowOff>238140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686300" y="9058290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276228</xdr:colOff>
      <xdr:row>44</xdr:row>
      <xdr:rowOff>230202</xdr:rowOff>
    </xdr:from>
    <xdr:to>
      <xdr:col>5</xdr:col>
      <xdr:colOff>476253</xdr:colOff>
      <xdr:row>44</xdr:row>
      <xdr:rowOff>230202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105028" y="9050352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252416</xdr:colOff>
      <xdr:row>41</xdr:row>
      <xdr:rowOff>190516</xdr:rowOff>
    </xdr:from>
    <xdr:to>
      <xdr:col>5</xdr:col>
      <xdr:colOff>452441</xdr:colOff>
      <xdr:row>41</xdr:row>
      <xdr:rowOff>190516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81216" y="8181991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71" zoomScaleNormal="100" workbookViewId="0">
      <selection activeCell="F87" sqref="F87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1" style="32" bestFit="1" customWidth="1"/>
    <col min="14" max="16384" width="9.140625" style="32"/>
  </cols>
  <sheetData>
    <row r="2" spans="1:12" ht="23.1" customHeight="1">
      <c r="A2" s="383" t="s">
        <v>84</v>
      </c>
      <c r="B2" s="383"/>
      <c r="C2" s="383"/>
      <c r="D2" s="383"/>
      <c r="E2" s="383"/>
      <c r="F2" s="383"/>
      <c r="G2" s="383"/>
      <c r="H2" s="383"/>
      <c r="I2" s="383"/>
    </row>
    <row r="3" spans="1:12" ht="23.1" customHeight="1">
      <c r="A3" s="383" t="s">
        <v>83</v>
      </c>
      <c r="B3" s="383"/>
      <c r="C3" s="383"/>
      <c r="D3" s="383"/>
      <c r="E3" s="383"/>
      <c r="F3" s="383"/>
      <c r="G3" s="383"/>
      <c r="H3" s="383"/>
      <c r="I3" s="383"/>
    </row>
    <row r="4" spans="1:12" ht="23.1" customHeight="1">
      <c r="A4" s="384" t="s">
        <v>200</v>
      </c>
      <c r="B4" s="384"/>
      <c r="C4" s="384"/>
      <c r="D4" s="384"/>
      <c r="E4" s="384"/>
      <c r="F4" s="384"/>
      <c r="G4" s="384"/>
      <c r="H4" s="384"/>
      <c r="I4" s="384"/>
    </row>
    <row r="5" spans="1:12" ht="23.1" customHeight="1">
      <c r="A5" s="383" t="s">
        <v>82</v>
      </c>
      <c r="B5" s="383"/>
      <c r="C5" s="383"/>
      <c r="D5" s="383"/>
      <c r="E5" s="383"/>
      <c r="F5" s="383"/>
      <c r="G5" s="383"/>
      <c r="H5" s="383"/>
      <c r="I5" s="383"/>
    </row>
    <row r="6" spans="1:12" ht="23.1" customHeight="1" thickBot="1">
      <c r="A6" s="385" t="s">
        <v>404</v>
      </c>
      <c r="B6" s="385"/>
      <c r="C6" s="385"/>
      <c r="D6" s="385"/>
      <c r="E6" s="385"/>
      <c r="F6" s="385"/>
      <c r="G6" s="385"/>
      <c r="H6" s="385"/>
      <c r="I6" s="385"/>
    </row>
    <row r="7" spans="1:12" ht="21" thickTop="1">
      <c r="A7" s="386" t="s">
        <v>74</v>
      </c>
      <c r="B7" s="387"/>
      <c r="C7" s="387"/>
      <c r="D7" s="388"/>
      <c r="E7" s="389" t="s">
        <v>73</v>
      </c>
      <c r="F7" s="390"/>
      <c r="G7" s="395" t="s">
        <v>2</v>
      </c>
      <c r="H7" s="398" t="s">
        <v>72</v>
      </c>
      <c r="I7" s="399"/>
    </row>
    <row r="8" spans="1:12" ht="20.25">
      <c r="A8" s="400" t="s">
        <v>71</v>
      </c>
      <c r="B8" s="401"/>
      <c r="C8" s="33" t="s">
        <v>70</v>
      </c>
      <c r="D8" s="33"/>
      <c r="E8" s="391"/>
      <c r="F8" s="392"/>
      <c r="G8" s="396"/>
      <c r="H8" s="371" t="s">
        <v>70</v>
      </c>
      <c r="I8" s="372"/>
    </row>
    <row r="9" spans="1:12" ht="21" thickBot="1">
      <c r="A9" s="373" t="s">
        <v>28</v>
      </c>
      <c r="B9" s="374"/>
      <c r="C9" s="34" t="s">
        <v>28</v>
      </c>
      <c r="D9" s="34"/>
      <c r="E9" s="393"/>
      <c r="F9" s="394"/>
      <c r="G9" s="397"/>
      <c r="H9" s="375" t="s">
        <v>28</v>
      </c>
      <c r="I9" s="376"/>
    </row>
    <row r="10" spans="1:12" ht="24" customHeight="1" thickTop="1">
      <c r="A10" s="67"/>
      <c r="B10" s="74"/>
      <c r="C10" s="377">
        <v>18041683.370000001</v>
      </c>
      <c r="D10" s="378"/>
      <c r="E10" s="379" t="s">
        <v>57</v>
      </c>
      <c r="F10" s="380"/>
      <c r="G10" s="35"/>
      <c r="H10" s="381">
        <v>21317037.73</v>
      </c>
      <c r="I10" s="382"/>
    </row>
    <row r="11" spans="1:12" ht="24.95" customHeight="1">
      <c r="A11" s="67"/>
      <c r="B11" s="75"/>
      <c r="C11" s="33"/>
      <c r="D11" s="36"/>
      <c r="E11" s="404" t="s">
        <v>81</v>
      </c>
      <c r="F11" s="405"/>
      <c r="G11" s="37"/>
      <c r="H11" s="381"/>
      <c r="I11" s="382"/>
    </row>
    <row r="12" spans="1:12" ht="24.95" customHeight="1">
      <c r="A12" s="67">
        <v>167000</v>
      </c>
      <c r="B12" s="37" t="s">
        <v>5</v>
      </c>
      <c r="C12" s="381">
        <f>14543.49+211.82+680.85+6264.71</f>
        <v>21700.87</v>
      </c>
      <c r="D12" s="382"/>
      <c r="E12" s="402" t="s">
        <v>130</v>
      </c>
      <c r="F12" s="403"/>
      <c r="G12" s="37" t="s">
        <v>117</v>
      </c>
      <c r="H12" s="381">
        <v>6264.71</v>
      </c>
      <c r="I12" s="382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1">
        <f>80+61904</f>
        <v>61984</v>
      </c>
      <c r="D13" s="382"/>
      <c r="E13" s="402" t="s">
        <v>129</v>
      </c>
      <c r="F13" s="403"/>
      <c r="G13" s="37" t="s">
        <v>118</v>
      </c>
      <c r="H13" s="381">
        <v>61904</v>
      </c>
      <c r="I13" s="382"/>
      <c r="J13" s="39"/>
      <c r="K13" s="39"/>
    </row>
    <row r="14" spans="1:12" ht="24.95" customHeight="1">
      <c r="A14" s="67">
        <v>70000</v>
      </c>
      <c r="B14" s="37" t="s">
        <v>5</v>
      </c>
      <c r="C14" s="381">
        <f>48231.77+21078.47+27378.64</f>
        <v>96688.87999999999</v>
      </c>
      <c r="D14" s="382"/>
      <c r="E14" s="402" t="s">
        <v>128</v>
      </c>
      <c r="F14" s="403"/>
      <c r="G14" s="37" t="s">
        <v>119</v>
      </c>
      <c r="H14" s="381">
        <v>27378.639999999999</v>
      </c>
      <c r="I14" s="382"/>
      <c r="J14" s="39"/>
      <c r="K14" s="39"/>
    </row>
    <row r="15" spans="1:12" ht="24.95" customHeight="1">
      <c r="A15" s="67">
        <v>320000</v>
      </c>
      <c r="B15" s="37" t="s">
        <v>5</v>
      </c>
      <c r="C15" s="381">
        <f>40440+62700+38185+45135</f>
        <v>186460</v>
      </c>
      <c r="D15" s="382"/>
      <c r="E15" s="402" t="s">
        <v>127</v>
      </c>
      <c r="F15" s="403"/>
      <c r="G15" s="37" t="s">
        <v>120</v>
      </c>
      <c r="H15" s="381">
        <v>45135</v>
      </c>
      <c r="I15" s="382"/>
      <c r="J15" s="39"/>
      <c r="K15" s="39"/>
    </row>
    <row r="16" spans="1:12" ht="24.95" customHeight="1">
      <c r="A16" s="67">
        <v>21000</v>
      </c>
      <c r="B16" s="37" t="s">
        <v>5</v>
      </c>
      <c r="C16" s="381">
        <f>2700</f>
        <v>2700</v>
      </c>
      <c r="D16" s="382"/>
      <c r="E16" s="402" t="s">
        <v>126</v>
      </c>
      <c r="F16" s="403"/>
      <c r="G16" s="37" t="s">
        <v>121</v>
      </c>
      <c r="H16" s="381">
        <v>2700</v>
      </c>
      <c r="I16" s="382"/>
      <c r="J16" s="39"/>
      <c r="K16" s="39"/>
    </row>
    <row r="17" spans="1:11" ht="24.95" customHeight="1">
      <c r="A17" s="67">
        <v>10937000</v>
      </c>
      <c r="B17" s="37" t="s">
        <v>5</v>
      </c>
      <c r="C17" s="381">
        <f>1118038.65+604794.53+765596.5+2534736.02</f>
        <v>5023165.6999999993</v>
      </c>
      <c r="D17" s="382"/>
      <c r="E17" s="402" t="s">
        <v>125</v>
      </c>
      <c r="F17" s="403"/>
      <c r="G17" s="37" t="s">
        <v>122</v>
      </c>
      <c r="H17" s="381">
        <f>487185.15+1228421.34+251665.26+561227.27+6237</f>
        <v>2534736.0200000005</v>
      </c>
      <c r="I17" s="382"/>
      <c r="J17" s="39"/>
      <c r="K17" s="39"/>
    </row>
    <row r="18" spans="1:11" ht="24.95" customHeight="1">
      <c r="A18" s="67">
        <v>10700000</v>
      </c>
      <c r="B18" s="37" t="s">
        <v>5</v>
      </c>
      <c r="C18" s="406">
        <f>4430138.43</f>
        <v>4430138.43</v>
      </c>
      <c r="D18" s="407"/>
      <c r="E18" s="402" t="s">
        <v>124</v>
      </c>
      <c r="F18" s="403"/>
      <c r="G18" s="37" t="s">
        <v>123</v>
      </c>
      <c r="H18" s="406">
        <v>0</v>
      </c>
      <c r="I18" s="407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408">
        <f>SUM(C12:C18)</f>
        <v>9822837.879999999</v>
      </c>
      <c r="D19" s="409"/>
      <c r="E19" s="402"/>
      <c r="F19" s="403"/>
      <c r="G19" s="37"/>
      <c r="H19" s="408">
        <f>SUM(H12:H18)</f>
        <v>2678118.3700000006</v>
      </c>
      <c r="I19" s="409"/>
      <c r="J19" s="39"/>
      <c r="K19" s="39"/>
    </row>
    <row r="20" spans="1:11" ht="24" hidden="1" customHeight="1">
      <c r="A20" s="69"/>
      <c r="B20" s="77"/>
      <c r="C20" s="377">
        <v>0</v>
      </c>
      <c r="D20" s="378"/>
      <c r="E20" s="402" t="s">
        <v>80</v>
      </c>
      <c r="F20" s="403"/>
      <c r="G20" s="37" t="s">
        <v>79</v>
      </c>
      <c r="H20" s="381" t="s">
        <v>5</v>
      </c>
      <c r="I20" s="382"/>
      <c r="J20" s="39"/>
      <c r="K20" s="39"/>
    </row>
    <row r="21" spans="1:11" ht="24.95" customHeight="1" thickTop="1">
      <c r="A21" s="69"/>
      <c r="B21" s="78"/>
      <c r="C21" s="381">
        <f>2673500+286563.5</f>
        <v>2960063.5</v>
      </c>
      <c r="D21" s="382"/>
      <c r="E21" s="402" t="s">
        <v>172</v>
      </c>
      <c r="F21" s="403"/>
      <c r="G21" s="37" t="s">
        <v>131</v>
      </c>
      <c r="H21" s="381">
        <v>0</v>
      </c>
      <c r="I21" s="382"/>
      <c r="J21" s="39"/>
      <c r="K21" s="39"/>
    </row>
    <row r="22" spans="1:11" ht="20.25" hidden="1">
      <c r="A22" s="69"/>
      <c r="B22" s="78"/>
      <c r="C22" s="381"/>
      <c r="D22" s="382"/>
      <c r="E22" s="52" t="s">
        <v>163</v>
      </c>
      <c r="F22" s="53"/>
      <c r="G22" s="37"/>
      <c r="H22" s="381"/>
      <c r="I22" s="382"/>
      <c r="J22" s="39"/>
      <c r="K22" s="39"/>
    </row>
    <row r="23" spans="1:11" ht="20.25">
      <c r="A23" s="69"/>
      <c r="B23" s="78"/>
      <c r="C23" s="381">
        <f>11271.32+1927.98+568.91+12001</f>
        <v>25769.21</v>
      </c>
      <c r="D23" s="382"/>
      <c r="E23" s="402" t="s">
        <v>67</v>
      </c>
      <c r="F23" s="403"/>
      <c r="G23" s="37" t="s">
        <v>145</v>
      </c>
      <c r="H23" s="381">
        <f>'หมายเหตุ 2'!D12</f>
        <v>12001</v>
      </c>
      <c r="I23" s="382"/>
      <c r="J23" s="39"/>
      <c r="K23" s="39"/>
    </row>
    <row r="24" spans="1:11" ht="20.25">
      <c r="A24" s="69"/>
      <c r="B24" s="78"/>
      <c r="C24" s="381">
        <f>104600</f>
        <v>104600</v>
      </c>
      <c r="D24" s="382"/>
      <c r="E24" s="402" t="s">
        <v>76</v>
      </c>
      <c r="F24" s="403"/>
      <c r="G24" s="37" t="s">
        <v>132</v>
      </c>
      <c r="H24" s="381">
        <v>0</v>
      </c>
      <c r="I24" s="382"/>
      <c r="J24" s="39"/>
      <c r="K24" s="39"/>
    </row>
    <row r="25" spans="1:11" ht="24.95" customHeight="1">
      <c r="A25" s="85"/>
      <c r="B25" s="78"/>
      <c r="C25" s="381">
        <f>1062500+138600</f>
        <v>1201100</v>
      </c>
      <c r="D25" s="382"/>
      <c r="E25" s="402" t="s">
        <v>77</v>
      </c>
      <c r="F25" s="403"/>
      <c r="G25" s="37" t="s">
        <v>177</v>
      </c>
      <c r="H25" s="381">
        <v>138600</v>
      </c>
      <c r="I25" s="382"/>
      <c r="J25" s="39"/>
      <c r="K25" s="39"/>
    </row>
    <row r="26" spans="1:11" ht="20.25" hidden="1">
      <c r="A26" s="85"/>
      <c r="B26" s="78"/>
      <c r="C26" s="381"/>
      <c r="D26" s="382"/>
      <c r="E26" s="402" t="s">
        <v>160</v>
      </c>
      <c r="F26" s="403"/>
      <c r="G26" s="37" t="s">
        <v>162</v>
      </c>
      <c r="H26" s="381"/>
      <c r="I26" s="382"/>
      <c r="J26" s="39">
        <f>C26+H26</f>
        <v>0</v>
      </c>
      <c r="K26" s="39" t="e">
        <v>#VALUE!</v>
      </c>
    </row>
    <row r="27" spans="1:11" ht="20.25">
      <c r="A27" s="85"/>
      <c r="B27" s="78"/>
      <c r="C27" s="381">
        <f>4800</f>
        <v>4800</v>
      </c>
      <c r="D27" s="382"/>
      <c r="E27" s="402" t="s">
        <v>390</v>
      </c>
      <c r="F27" s="403"/>
      <c r="G27" s="37" t="s">
        <v>392</v>
      </c>
      <c r="H27" s="381">
        <v>0</v>
      </c>
      <c r="I27" s="382"/>
      <c r="J27" s="39"/>
      <c r="K27" s="39"/>
    </row>
    <row r="28" spans="1:11" ht="20.25">
      <c r="A28" s="85"/>
      <c r="B28" s="78"/>
      <c r="C28" s="381">
        <f>9987.1</f>
        <v>9987.1</v>
      </c>
      <c r="D28" s="382"/>
      <c r="E28" s="342" t="s">
        <v>391</v>
      </c>
      <c r="F28" s="53"/>
      <c r="G28" s="37" t="s">
        <v>137</v>
      </c>
      <c r="H28" s="381">
        <v>0</v>
      </c>
      <c r="I28" s="382"/>
      <c r="J28" s="39"/>
      <c r="K28" s="39"/>
    </row>
    <row r="29" spans="1:11" ht="20.25">
      <c r="A29" s="85"/>
      <c r="B29" s="78"/>
      <c r="C29" s="381">
        <v>24</v>
      </c>
      <c r="D29" s="382"/>
      <c r="E29" s="369" t="s">
        <v>397</v>
      </c>
      <c r="F29" s="53"/>
      <c r="G29" s="37"/>
      <c r="H29" s="381">
        <v>0</v>
      </c>
      <c r="I29" s="382"/>
      <c r="J29" s="39"/>
      <c r="K29" s="39"/>
    </row>
    <row r="30" spans="1:11" ht="20.25">
      <c r="A30" s="85"/>
      <c r="B30" s="78"/>
      <c r="C30" s="381"/>
      <c r="D30" s="382"/>
      <c r="E30" s="52"/>
      <c r="F30" s="53"/>
      <c r="G30" s="37"/>
      <c r="H30" s="381"/>
      <c r="I30" s="382"/>
      <c r="J30" s="39"/>
      <c r="K30" s="39"/>
    </row>
    <row r="31" spans="1:11" ht="20.25">
      <c r="A31" s="85"/>
      <c r="B31" s="78"/>
      <c r="C31" s="381"/>
      <c r="D31" s="382"/>
      <c r="E31" s="52"/>
      <c r="F31" s="53"/>
      <c r="G31" s="37"/>
      <c r="H31" s="381"/>
      <c r="I31" s="382"/>
      <c r="J31" s="39"/>
      <c r="K31" s="39"/>
    </row>
    <row r="32" spans="1:11" ht="20.25">
      <c r="A32" s="85"/>
      <c r="B32" s="78"/>
      <c r="C32" s="381"/>
      <c r="D32" s="382"/>
      <c r="E32" s="52"/>
      <c r="F32" s="53"/>
      <c r="G32" s="37"/>
      <c r="H32" s="381"/>
      <c r="I32" s="382"/>
      <c r="J32" s="39"/>
      <c r="K32" s="39"/>
    </row>
    <row r="33" spans="1:12" ht="20.25">
      <c r="A33" s="85"/>
      <c r="B33" s="78"/>
      <c r="C33" s="381"/>
      <c r="D33" s="382"/>
      <c r="E33" s="52"/>
      <c r="F33" s="53"/>
      <c r="G33" s="37"/>
      <c r="H33" s="381"/>
      <c r="I33" s="382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81"/>
      <c r="D37" s="382"/>
      <c r="E37" s="402" t="s">
        <v>76</v>
      </c>
      <c r="F37" s="403"/>
      <c r="G37" s="37" t="s">
        <v>132</v>
      </c>
      <c r="H37" s="381"/>
      <c r="I37" s="382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81"/>
      <c r="D38" s="382"/>
      <c r="E38" s="402" t="s">
        <v>77</v>
      </c>
      <c r="F38" s="403"/>
      <c r="G38" s="60">
        <v>110607</v>
      </c>
      <c r="H38" s="381"/>
      <c r="I38" s="382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81"/>
      <c r="D39" s="382"/>
      <c r="E39" s="402" t="s">
        <v>14</v>
      </c>
      <c r="F39" s="403"/>
      <c r="G39" s="37" t="s">
        <v>161</v>
      </c>
      <c r="H39" s="416"/>
      <c r="I39" s="417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81"/>
      <c r="D40" s="382"/>
      <c r="E40" s="52" t="s">
        <v>164</v>
      </c>
      <c r="F40" s="53"/>
      <c r="G40" s="37" t="s">
        <v>138</v>
      </c>
      <c r="H40" s="381"/>
      <c r="I40" s="382"/>
      <c r="J40" s="39">
        <f t="shared" si="0"/>
        <v>0</v>
      </c>
      <c r="K40" s="39"/>
    </row>
    <row r="41" spans="1:12" ht="24" hidden="1" customHeight="1">
      <c r="A41" s="69"/>
      <c r="B41" s="78"/>
      <c r="C41" s="381"/>
      <c r="D41" s="382"/>
      <c r="E41" s="52" t="s">
        <v>169</v>
      </c>
      <c r="F41" s="53"/>
      <c r="G41" s="37"/>
      <c r="H41" s="381"/>
      <c r="I41" s="382"/>
      <c r="J41" s="39">
        <f t="shared" si="0"/>
        <v>0</v>
      </c>
      <c r="K41" s="39"/>
    </row>
    <row r="42" spans="1:12" ht="24" hidden="1" customHeight="1">
      <c r="A42" s="69"/>
      <c r="B42" s="78"/>
      <c r="C42" s="381"/>
      <c r="D42" s="382"/>
      <c r="E42" s="52" t="s">
        <v>170</v>
      </c>
      <c r="F42" s="53"/>
      <c r="G42" s="37"/>
      <c r="H42" s="381"/>
      <c r="I42" s="382"/>
      <c r="J42" s="39">
        <f t="shared" si="0"/>
        <v>0</v>
      </c>
      <c r="K42" s="39"/>
    </row>
    <row r="43" spans="1:12" ht="24" customHeight="1">
      <c r="A43" s="69"/>
      <c r="B43" s="78"/>
      <c r="C43" s="410">
        <f>SUM(C21:C42)</f>
        <v>4306343.8099999996</v>
      </c>
      <c r="D43" s="411"/>
      <c r="E43" s="402"/>
      <c r="F43" s="403"/>
      <c r="G43" s="37"/>
      <c r="H43" s="410">
        <f>SUM(H21:H42)</f>
        <v>150601</v>
      </c>
      <c r="I43" s="411"/>
      <c r="J43" s="39">
        <f t="shared" si="0"/>
        <v>4456944.8099999996</v>
      </c>
      <c r="K43" s="39">
        <v>4680486.28</v>
      </c>
    </row>
    <row r="44" spans="1:12" s="55" customFormat="1" ht="24" customHeight="1">
      <c r="A44" s="70"/>
      <c r="B44" s="80"/>
      <c r="C44" s="412">
        <f>C19+C43</f>
        <v>14129181.689999998</v>
      </c>
      <c r="D44" s="413"/>
      <c r="E44" s="414" t="s">
        <v>75</v>
      </c>
      <c r="F44" s="415"/>
      <c r="G44" s="86"/>
      <c r="H44" s="412">
        <f>H19+H43</f>
        <v>2828719.3700000006</v>
      </c>
      <c r="I44" s="413"/>
      <c r="J44" s="54">
        <f t="shared" si="0"/>
        <v>16957901.059999999</v>
      </c>
      <c r="K44" s="54">
        <v>12809507.25</v>
      </c>
      <c r="L44" s="55">
        <v>173910</v>
      </c>
    </row>
    <row r="45" spans="1:12" ht="17.100000000000001" customHeight="1">
      <c r="A45" s="418" t="s">
        <v>74</v>
      </c>
      <c r="B45" s="419"/>
      <c r="C45" s="419"/>
      <c r="D45" s="420"/>
      <c r="E45" s="421" t="s">
        <v>73</v>
      </c>
      <c r="F45" s="422"/>
      <c r="G45" s="425" t="s">
        <v>2</v>
      </c>
      <c r="H45" s="427" t="s">
        <v>72</v>
      </c>
      <c r="I45" s="428"/>
    </row>
    <row r="46" spans="1:12" ht="17.100000000000001" customHeight="1">
      <c r="A46" s="429" t="s">
        <v>71</v>
      </c>
      <c r="B46" s="430"/>
      <c r="C46" s="371" t="s">
        <v>70</v>
      </c>
      <c r="D46" s="372"/>
      <c r="E46" s="391"/>
      <c r="F46" s="392"/>
      <c r="G46" s="396"/>
      <c r="H46" s="431" t="s">
        <v>70</v>
      </c>
      <c r="I46" s="432"/>
    </row>
    <row r="47" spans="1:12" ht="17.100000000000001" customHeight="1">
      <c r="A47" s="433" t="s">
        <v>28</v>
      </c>
      <c r="B47" s="434"/>
      <c r="C47" s="435" t="s">
        <v>28</v>
      </c>
      <c r="D47" s="436"/>
      <c r="E47" s="423"/>
      <c r="F47" s="424"/>
      <c r="G47" s="426"/>
      <c r="H47" s="435" t="s">
        <v>28</v>
      </c>
      <c r="I47" s="436"/>
    </row>
    <row r="48" spans="1:12" ht="17.100000000000001" customHeight="1">
      <c r="A48" s="67"/>
      <c r="B48" s="75"/>
      <c r="C48" s="41"/>
      <c r="D48" s="36"/>
      <c r="E48" s="42" t="s">
        <v>69</v>
      </c>
      <c r="F48" s="36"/>
      <c r="G48" s="37"/>
      <c r="H48" s="381"/>
      <c r="I48" s="382"/>
    </row>
    <row r="49" spans="1:13" ht="23.1" customHeight="1">
      <c r="A49" s="67">
        <v>1325270</v>
      </c>
      <c r="B49" s="37" t="s">
        <v>5</v>
      </c>
      <c r="C49" s="381">
        <f>132218+103728+17358</f>
        <v>253304</v>
      </c>
      <c r="D49" s="382"/>
      <c r="E49" s="42"/>
      <c r="F49" s="36" t="s">
        <v>6</v>
      </c>
      <c r="G49" s="37" t="s">
        <v>133</v>
      </c>
      <c r="H49" s="381">
        <v>17358</v>
      </c>
      <c r="I49" s="382"/>
      <c r="J49" s="39"/>
      <c r="K49" s="39"/>
    </row>
    <row r="50" spans="1:13" ht="23.1" customHeight="1">
      <c r="A50" s="67">
        <v>2052720</v>
      </c>
      <c r="B50" s="37" t="s">
        <v>5</v>
      </c>
      <c r="C50" s="381">
        <f>182919.01+187797.1+171060</f>
        <v>541776.11</v>
      </c>
      <c r="D50" s="382"/>
      <c r="E50" s="44"/>
      <c r="F50" s="36" t="s">
        <v>134</v>
      </c>
      <c r="G50" s="37" t="s">
        <v>136</v>
      </c>
      <c r="H50" s="381">
        <v>171060</v>
      </c>
      <c r="I50" s="382"/>
      <c r="J50" s="39"/>
      <c r="K50" s="39"/>
      <c r="L50" s="381"/>
      <c r="M50" s="382"/>
    </row>
    <row r="51" spans="1:13" ht="23.1" customHeight="1">
      <c r="A51" s="67">
        <f>1845240+861240+176160+399000</f>
        <v>3281640</v>
      </c>
      <c r="B51" s="37" t="s">
        <v>5</v>
      </c>
      <c r="C51" s="381">
        <f>243555+243555+243625+250164</f>
        <v>980899</v>
      </c>
      <c r="D51" s="382"/>
      <c r="E51" s="44"/>
      <c r="F51" s="36" t="s">
        <v>135</v>
      </c>
      <c r="G51" s="37" t="s">
        <v>137</v>
      </c>
      <c r="H51" s="381">
        <v>250164</v>
      </c>
      <c r="I51" s="382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81">
        <f>36580+36580+36580+36580</f>
        <v>146320</v>
      </c>
      <c r="D52" s="382"/>
      <c r="E52" s="44"/>
      <c r="F52" s="36" t="s">
        <v>201</v>
      </c>
      <c r="G52" s="37" t="s">
        <v>137</v>
      </c>
      <c r="H52" s="381">
        <v>36580</v>
      </c>
      <c r="I52" s="382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81">
        <f>4600+8244+11914+53278</f>
        <v>78036</v>
      </c>
      <c r="D53" s="382"/>
      <c r="E53" s="44"/>
      <c r="F53" s="36" t="s">
        <v>7</v>
      </c>
      <c r="G53" s="37" t="s">
        <v>138</v>
      </c>
      <c r="H53" s="381">
        <v>53278</v>
      </c>
      <c r="I53" s="382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81">
        <f>18544.55+41600+63939.42+397190+212619.8</f>
        <v>733893.77</v>
      </c>
      <c r="D54" s="382"/>
      <c r="E54" s="44"/>
      <c r="F54" s="36" t="s">
        <v>8</v>
      </c>
      <c r="G54" s="37" t="s">
        <v>139</v>
      </c>
      <c r="H54" s="381">
        <v>212619.8</v>
      </c>
      <c r="I54" s="382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81">
        <f>24224+54510</f>
        <v>78734</v>
      </c>
      <c r="D55" s="382"/>
      <c r="E55" s="44"/>
      <c r="F55" s="36" t="s">
        <v>9</v>
      </c>
      <c r="G55" s="37" t="s">
        <v>140</v>
      </c>
      <c r="H55" s="381">
        <v>54510</v>
      </c>
      <c r="I55" s="382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81">
        <f>58615.9+59244.81+60695.5+61730.49</f>
        <v>240286.69999999998</v>
      </c>
      <c r="D56" s="382"/>
      <c r="E56" s="44"/>
      <c r="F56" s="36" t="s">
        <v>10</v>
      </c>
      <c r="G56" s="37" t="s">
        <v>141</v>
      </c>
      <c r="H56" s="381">
        <v>61730.49</v>
      </c>
      <c r="I56" s="382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81">
        <f>7108.01+36014.06</f>
        <v>43122.07</v>
      </c>
      <c r="D57" s="382"/>
      <c r="E57" s="44"/>
      <c r="F57" s="36" t="s">
        <v>12</v>
      </c>
      <c r="G57" s="37" t="s">
        <v>142</v>
      </c>
      <c r="H57" s="381">
        <v>36014.06</v>
      </c>
      <c r="I57" s="382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81">
        <v>0</v>
      </c>
      <c r="D58" s="382"/>
      <c r="E58" s="44"/>
      <c r="F58" s="36" t="s">
        <v>58</v>
      </c>
      <c r="G58" s="37" t="s">
        <v>143</v>
      </c>
      <c r="H58" s="381">
        <v>0</v>
      </c>
      <c r="I58" s="382"/>
      <c r="J58" s="39"/>
      <c r="K58" s="39"/>
    </row>
    <row r="59" spans="1:13" ht="23.1" customHeight="1">
      <c r="A59" s="87">
        <v>25000</v>
      </c>
      <c r="B59" s="37" t="s">
        <v>5</v>
      </c>
      <c r="C59" s="381">
        <v>0</v>
      </c>
      <c r="D59" s="382"/>
      <c r="E59" s="44"/>
      <c r="F59" s="45" t="s">
        <v>68</v>
      </c>
      <c r="G59" s="37" t="s">
        <v>144</v>
      </c>
      <c r="H59" s="381">
        <v>0</v>
      </c>
      <c r="I59" s="382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81">
        <f>852800</f>
        <v>852800</v>
      </c>
      <c r="D60" s="382"/>
      <c r="E60" s="44"/>
      <c r="F60" s="36" t="s">
        <v>11</v>
      </c>
      <c r="G60" s="38">
        <v>561000</v>
      </c>
      <c r="H60" s="381">
        <v>0</v>
      </c>
      <c r="I60" s="382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437">
        <f>SUM(C49:C60)</f>
        <v>3949171.65</v>
      </c>
      <c r="D61" s="438"/>
      <c r="E61" s="44"/>
      <c r="F61" s="45"/>
      <c r="G61" s="37"/>
      <c r="H61" s="437">
        <f>SUM(H49:H60)</f>
        <v>893314.35000000009</v>
      </c>
      <c r="I61" s="438"/>
      <c r="J61" s="43"/>
      <c r="K61" s="39"/>
    </row>
    <row r="62" spans="1:13" ht="21" customHeight="1">
      <c r="A62" s="69"/>
      <c r="B62" s="79"/>
      <c r="C62" s="381">
        <f>1062500+531500+674463.5</f>
        <v>2268463.5</v>
      </c>
      <c r="D62" s="382"/>
      <c r="E62" s="44"/>
      <c r="F62" s="36" t="s">
        <v>78</v>
      </c>
      <c r="G62" s="37" t="s">
        <v>131</v>
      </c>
      <c r="H62" s="381">
        <f>471400+51500+1800+11163.5+86490+48510+3600</f>
        <v>674463.5</v>
      </c>
      <c r="I62" s="382"/>
      <c r="J62" s="43"/>
      <c r="K62" s="39"/>
    </row>
    <row r="63" spans="1:13" ht="23.1" customHeight="1">
      <c r="A63" s="69"/>
      <c r="B63" s="79"/>
      <c r="C63" s="381">
        <f>44537.88+7146.98+1901.8+67391.11</f>
        <v>120977.77</v>
      </c>
      <c r="D63" s="382"/>
      <c r="E63" s="44"/>
      <c r="F63" s="36" t="s">
        <v>67</v>
      </c>
      <c r="G63" s="37" t="s">
        <v>145</v>
      </c>
      <c r="H63" s="381">
        <f>'หมายเหตุ 2'!E12</f>
        <v>67391.11</v>
      </c>
      <c r="I63" s="382"/>
      <c r="J63" s="43"/>
      <c r="K63" s="39"/>
    </row>
    <row r="64" spans="1:13" ht="20.25" hidden="1">
      <c r="A64" s="85"/>
      <c r="B64" s="79"/>
      <c r="C64" s="381"/>
      <c r="D64" s="382"/>
      <c r="E64" s="44"/>
      <c r="F64" s="45" t="s">
        <v>66</v>
      </c>
      <c r="G64" s="38">
        <v>620</v>
      </c>
      <c r="H64" s="381"/>
      <c r="I64" s="382"/>
      <c r="J64" s="43"/>
      <c r="K64" s="39"/>
    </row>
    <row r="65" spans="1:13" ht="23.1" customHeight="1">
      <c r="A65" s="69"/>
      <c r="B65" s="79"/>
      <c r="C65" s="381">
        <f>746900+152000+652000</f>
        <v>1550900</v>
      </c>
      <c r="D65" s="382"/>
      <c r="E65" s="44"/>
      <c r="F65" s="36" t="s">
        <v>394</v>
      </c>
      <c r="G65" s="37" t="s">
        <v>148</v>
      </c>
      <c r="H65" s="381">
        <v>652000</v>
      </c>
      <c r="I65" s="382"/>
      <c r="J65" s="43"/>
      <c r="K65" s="39"/>
    </row>
    <row r="66" spans="1:13" ht="23.1" customHeight="1">
      <c r="A66" s="69"/>
      <c r="B66" s="79"/>
      <c r="C66" s="381">
        <f>911380</f>
        <v>911380</v>
      </c>
      <c r="D66" s="382"/>
      <c r="E66" s="44"/>
      <c r="F66" s="36" t="s">
        <v>393</v>
      </c>
      <c r="G66" s="37" t="s">
        <v>146</v>
      </c>
      <c r="H66" s="381">
        <v>0</v>
      </c>
      <c r="I66" s="382"/>
      <c r="J66" s="43"/>
      <c r="K66" s="39"/>
    </row>
    <row r="67" spans="1:13" ht="23.1" customHeight="1">
      <c r="A67" s="69"/>
      <c r="B67" s="79"/>
      <c r="C67" s="381">
        <f>25660+230400</f>
        <v>256060</v>
      </c>
      <c r="D67" s="382"/>
      <c r="E67" s="45"/>
      <c r="F67" s="44" t="s">
        <v>179</v>
      </c>
      <c r="G67" s="37" t="s">
        <v>147</v>
      </c>
      <c r="H67" s="381">
        <v>230400</v>
      </c>
      <c r="I67" s="382"/>
      <c r="J67" s="43"/>
      <c r="K67" s="39"/>
    </row>
    <row r="68" spans="1:13" ht="23.1" customHeight="1">
      <c r="A68" s="69"/>
      <c r="B68" s="79"/>
      <c r="C68" s="381">
        <v>24</v>
      </c>
      <c r="D68" s="382"/>
      <c r="E68" s="45"/>
      <c r="F68" s="44" t="s">
        <v>397</v>
      </c>
      <c r="G68" s="37" t="s">
        <v>398</v>
      </c>
      <c r="H68" s="381">
        <v>0</v>
      </c>
      <c r="I68" s="382"/>
      <c r="J68" s="43"/>
      <c r="K68" s="39"/>
    </row>
    <row r="69" spans="1:13" ht="23.1" customHeight="1">
      <c r="A69" s="69"/>
      <c r="B69" s="79"/>
      <c r="C69" s="381">
        <f>41600+30000</f>
        <v>71600</v>
      </c>
      <c r="D69" s="382"/>
      <c r="E69" s="45"/>
      <c r="F69" s="44" t="s">
        <v>202</v>
      </c>
      <c r="G69" s="37" t="s">
        <v>132</v>
      </c>
      <c r="H69" s="381">
        <v>30000</v>
      </c>
      <c r="I69" s="382"/>
      <c r="J69" s="43"/>
      <c r="K69" s="39"/>
    </row>
    <row r="70" spans="1:13" ht="23.1" customHeight="1">
      <c r="A70" s="69"/>
      <c r="B70" s="79"/>
      <c r="C70" s="381">
        <f>105000+1169300+106800+105000</f>
        <v>1486100</v>
      </c>
      <c r="D70" s="382"/>
      <c r="E70" s="45"/>
      <c r="F70" s="45" t="s">
        <v>166</v>
      </c>
      <c r="G70" s="37" t="s">
        <v>177</v>
      </c>
      <c r="H70" s="381">
        <v>105000</v>
      </c>
      <c r="I70" s="382"/>
      <c r="J70" s="43"/>
      <c r="K70" s="43"/>
    </row>
    <row r="71" spans="1:13" ht="20.25">
      <c r="A71" s="69"/>
      <c r="B71" s="79"/>
      <c r="C71" s="381">
        <v>63000</v>
      </c>
      <c r="D71" s="382"/>
      <c r="E71" s="45"/>
      <c r="F71" s="45" t="s">
        <v>203</v>
      </c>
      <c r="G71" s="37" t="s">
        <v>196</v>
      </c>
      <c r="H71" s="381">
        <v>0</v>
      </c>
      <c r="I71" s="382"/>
      <c r="J71" s="43"/>
      <c r="K71" s="43"/>
    </row>
    <row r="72" spans="1:13" ht="20.25">
      <c r="A72" s="69"/>
      <c r="B72" s="79"/>
      <c r="C72" s="406"/>
      <c r="D72" s="407"/>
      <c r="E72" s="45"/>
      <c r="F72" s="45"/>
      <c r="G72" s="37"/>
      <c r="H72" s="406"/>
      <c r="I72" s="407"/>
      <c r="J72" s="43"/>
      <c r="K72" s="43"/>
    </row>
    <row r="73" spans="1:13" ht="21" customHeight="1">
      <c r="A73" s="69"/>
      <c r="B73" s="78"/>
      <c r="C73" s="437">
        <f>SUM(C62:D72)</f>
        <v>6728505.2699999996</v>
      </c>
      <c r="D73" s="438"/>
      <c r="E73" s="45"/>
      <c r="F73" s="44"/>
      <c r="G73" s="37"/>
      <c r="H73" s="437">
        <f>SUM(H62:I72)</f>
        <v>1759254.6099999999</v>
      </c>
      <c r="I73" s="438"/>
      <c r="J73" s="43"/>
      <c r="K73" s="43"/>
    </row>
    <row r="74" spans="1:13" ht="17.100000000000001" customHeight="1" thickBot="1">
      <c r="A74" s="69"/>
      <c r="B74" s="78"/>
      <c r="C74" s="408">
        <f>C61+C73</f>
        <v>10677676.92</v>
      </c>
      <c r="D74" s="409"/>
      <c r="E74" s="440" t="s">
        <v>65</v>
      </c>
      <c r="F74" s="440"/>
      <c r="G74" s="37"/>
      <c r="H74" s="408">
        <f>+H61+H73</f>
        <v>2652568.96</v>
      </c>
      <c r="I74" s="409"/>
      <c r="J74" s="43"/>
      <c r="K74" s="43"/>
    </row>
    <row r="75" spans="1:13" ht="17.100000000000001" customHeight="1" thickTop="1">
      <c r="A75" s="69"/>
      <c r="B75" s="78"/>
      <c r="C75" s="381">
        <f>C44-C74</f>
        <v>3451504.7699999977</v>
      </c>
      <c r="D75" s="382"/>
      <c r="E75" s="440" t="s">
        <v>64</v>
      </c>
      <c r="F75" s="440"/>
      <c r="G75" s="37"/>
      <c r="H75" s="381">
        <f>H44-H74</f>
        <v>176150.41000000061</v>
      </c>
      <c r="I75" s="382"/>
      <c r="J75" s="43"/>
      <c r="K75" s="43"/>
    </row>
    <row r="76" spans="1:13" ht="17.100000000000001" customHeight="1">
      <c r="A76" s="71"/>
      <c r="B76" s="81"/>
      <c r="C76" s="381"/>
      <c r="D76" s="382"/>
      <c r="E76" s="440" t="s">
        <v>63</v>
      </c>
      <c r="F76" s="440"/>
      <c r="G76" s="37"/>
      <c r="H76" s="371"/>
      <c r="I76" s="372"/>
      <c r="J76" s="43" t="s">
        <v>114</v>
      </c>
      <c r="K76" s="40">
        <v>21491706.140000001</v>
      </c>
    </row>
    <row r="77" spans="1:13" ht="17.100000000000001" customHeight="1">
      <c r="A77" s="71"/>
      <c r="B77" s="81"/>
      <c r="C77" s="381"/>
      <c r="D77" s="382"/>
      <c r="E77" s="440" t="s">
        <v>62</v>
      </c>
      <c r="F77" s="440"/>
      <c r="G77" s="37"/>
      <c r="H77" s="381"/>
      <c r="I77" s="382"/>
      <c r="J77" s="43" t="s">
        <v>15</v>
      </c>
      <c r="K77" s="40">
        <v>1482</v>
      </c>
      <c r="L77" s="39">
        <f>SUM(K76:K77)</f>
        <v>21493188.140000001</v>
      </c>
    </row>
    <row r="78" spans="1:13" ht="17.100000000000001" customHeight="1" thickBot="1">
      <c r="A78" s="72"/>
      <c r="B78" s="82"/>
      <c r="C78" s="408">
        <f>C10+C44-C74</f>
        <v>21493188.140000001</v>
      </c>
      <c r="D78" s="409"/>
      <c r="E78" s="435" t="s">
        <v>61</v>
      </c>
      <c r="F78" s="436"/>
      <c r="G78" s="46"/>
      <c r="H78" s="408">
        <f>H10+H44-H74</f>
        <v>21493188.140000001</v>
      </c>
      <c r="I78" s="409"/>
      <c r="J78" s="100" t="s">
        <v>182</v>
      </c>
      <c r="K78" s="101">
        <f>C78-H78</f>
        <v>0</v>
      </c>
      <c r="L78" s="40"/>
      <c r="M78" s="40">
        <f>L77-H78</f>
        <v>0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183</v>
      </c>
      <c r="D81" s="65" t="s">
        <v>175</v>
      </c>
      <c r="F81" s="64"/>
      <c r="G81" s="367" t="s">
        <v>406</v>
      </c>
      <c r="H81" s="93"/>
    </row>
    <row r="82" spans="1:8" s="66" customFormat="1" ht="18" customHeight="1">
      <c r="A82" s="439" t="s">
        <v>60</v>
      </c>
      <c r="B82" s="439"/>
      <c r="C82" s="65" t="s">
        <v>168</v>
      </c>
      <c r="E82" s="91"/>
      <c r="F82" s="91"/>
      <c r="G82" s="367" t="s">
        <v>59</v>
      </c>
    </row>
    <row r="83" spans="1:8" s="66" customFormat="1" ht="15.95" customHeight="1">
      <c r="E83" s="64"/>
      <c r="F83" s="64"/>
      <c r="G83" s="354"/>
    </row>
  </sheetData>
  <mergeCells count="176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43" workbookViewId="0">
      <selection activeCell="I40" sqref="I40:J40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1">
      <c r="A2" s="441" t="s">
        <v>204</v>
      </c>
      <c r="B2" s="441"/>
      <c r="C2" s="441"/>
      <c r="D2" s="441"/>
      <c r="E2" s="441"/>
      <c r="F2" s="441"/>
      <c r="G2" s="441"/>
      <c r="H2" s="441"/>
      <c r="I2" s="441"/>
      <c r="J2" s="441"/>
    </row>
    <row r="3" spans="1:10" ht="21">
      <c r="A3" s="442" t="s">
        <v>407</v>
      </c>
      <c r="B3" s="442"/>
      <c r="C3" s="442"/>
      <c r="D3" s="442"/>
      <c r="E3" s="442"/>
      <c r="F3" s="442"/>
      <c r="G3" s="442"/>
      <c r="H3" s="442"/>
      <c r="I3" s="442"/>
      <c r="J3" s="442"/>
    </row>
    <row r="4" spans="1:10" ht="21">
      <c r="A4" s="443" t="s">
        <v>1</v>
      </c>
      <c r="B4" s="444"/>
      <c r="C4" s="444"/>
      <c r="D4" s="444"/>
      <c r="E4" s="445"/>
      <c r="F4" s="56" t="s">
        <v>2</v>
      </c>
      <c r="G4" s="446" t="s">
        <v>3</v>
      </c>
      <c r="H4" s="447"/>
      <c r="I4" s="446" t="s">
        <v>4</v>
      </c>
      <c r="J4" s="447"/>
    </row>
    <row r="5" spans="1:10" ht="21.75">
      <c r="A5" s="448" t="s">
        <v>15</v>
      </c>
      <c r="B5" s="449"/>
      <c r="C5" s="449"/>
      <c r="D5" s="449"/>
      <c r="E5" s="450"/>
      <c r="F5" s="94" t="s">
        <v>149</v>
      </c>
      <c r="G5" s="451">
        <v>1482</v>
      </c>
      <c r="H5" s="451"/>
      <c r="I5" s="452"/>
      <c r="J5" s="452"/>
    </row>
    <row r="6" spans="1:10" ht="21.75">
      <c r="A6" s="453" t="s">
        <v>185</v>
      </c>
      <c r="B6" s="454"/>
      <c r="C6" s="454"/>
      <c r="D6" s="454"/>
      <c r="E6" s="455"/>
      <c r="F6" s="94" t="s">
        <v>150</v>
      </c>
      <c r="G6" s="456">
        <v>1937882.62</v>
      </c>
      <c r="H6" s="457"/>
      <c r="I6" s="456"/>
      <c r="J6" s="457"/>
    </row>
    <row r="7" spans="1:10" ht="21.75">
      <c r="A7" s="453" t="s">
        <v>186</v>
      </c>
      <c r="B7" s="454"/>
      <c r="C7" s="454"/>
      <c r="D7" s="454"/>
      <c r="E7" s="455"/>
      <c r="F7" s="94"/>
      <c r="G7" s="458">
        <v>1968548.94</v>
      </c>
      <c r="H7" s="459"/>
      <c r="I7" s="458"/>
      <c r="J7" s="459"/>
    </row>
    <row r="8" spans="1:10" ht="21.75">
      <c r="A8" s="453" t="s">
        <v>187</v>
      </c>
      <c r="B8" s="454"/>
      <c r="C8" s="454"/>
      <c r="D8" s="454"/>
      <c r="E8" s="455"/>
      <c r="F8" s="94"/>
      <c r="G8" s="458">
        <v>4235047.17</v>
      </c>
      <c r="H8" s="459"/>
      <c r="I8" s="458"/>
      <c r="J8" s="459"/>
    </row>
    <row r="9" spans="1:10" ht="21.75">
      <c r="A9" s="448" t="s">
        <v>188</v>
      </c>
      <c r="B9" s="449"/>
      <c r="C9" s="449"/>
      <c r="D9" s="449"/>
      <c r="E9" s="450"/>
      <c r="F9" s="94" t="s">
        <v>151</v>
      </c>
      <c r="G9" s="458">
        <v>10629362.76</v>
      </c>
      <c r="H9" s="459"/>
      <c r="I9" s="458"/>
      <c r="J9" s="459"/>
    </row>
    <row r="10" spans="1:10" ht="21.75">
      <c r="A10" s="448" t="s">
        <v>189</v>
      </c>
      <c r="B10" s="449"/>
      <c r="C10" s="449"/>
      <c r="D10" s="449"/>
      <c r="E10" s="450"/>
      <c r="F10" s="94"/>
      <c r="G10" s="458">
        <v>720864.65</v>
      </c>
      <c r="H10" s="459"/>
      <c r="I10" s="458"/>
      <c r="J10" s="459"/>
    </row>
    <row r="11" spans="1:10" ht="21.75">
      <c r="A11" s="120" t="s">
        <v>195</v>
      </c>
      <c r="B11" s="121"/>
      <c r="C11" s="121"/>
      <c r="D11" s="121"/>
      <c r="E11" s="122"/>
      <c r="F11" s="94"/>
      <c r="G11" s="461">
        <v>2000000</v>
      </c>
      <c r="H11" s="462"/>
      <c r="I11" s="117"/>
      <c r="J11" s="118"/>
    </row>
    <row r="12" spans="1:10" ht="21.75">
      <c r="A12" s="448" t="s">
        <v>22</v>
      </c>
      <c r="B12" s="449"/>
      <c r="C12" s="449"/>
      <c r="D12" s="449"/>
      <c r="E12" s="450"/>
      <c r="F12" s="94" t="s">
        <v>152</v>
      </c>
      <c r="G12" s="461">
        <v>97782.52</v>
      </c>
      <c r="H12" s="462"/>
      <c r="I12" s="461"/>
      <c r="J12" s="462"/>
    </row>
    <row r="13" spans="1:10" ht="21.75">
      <c r="A13" s="463" t="s">
        <v>212</v>
      </c>
      <c r="B13" s="464"/>
      <c r="C13" s="464"/>
      <c r="D13" s="464"/>
      <c r="E13" s="465"/>
      <c r="F13" s="94" t="s">
        <v>153</v>
      </c>
      <c r="G13" s="458">
        <v>137770</v>
      </c>
      <c r="H13" s="459"/>
      <c r="I13" s="458"/>
      <c r="J13" s="459"/>
    </row>
    <row r="14" spans="1:10" ht="21.75">
      <c r="A14" s="460" t="s">
        <v>13</v>
      </c>
      <c r="B14" s="460"/>
      <c r="C14" s="460"/>
      <c r="D14" s="460"/>
      <c r="E14" s="460"/>
      <c r="F14" s="94" t="s">
        <v>132</v>
      </c>
      <c r="G14" s="458">
        <v>30000</v>
      </c>
      <c r="H14" s="459"/>
      <c r="I14" s="458"/>
      <c r="J14" s="459"/>
    </row>
    <row r="15" spans="1:10" ht="21.75">
      <c r="A15" s="460" t="s">
        <v>205</v>
      </c>
      <c r="B15" s="460"/>
      <c r="C15" s="460"/>
      <c r="D15" s="460"/>
      <c r="E15" s="460"/>
      <c r="F15" s="94" t="s">
        <v>177</v>
      </c>
      <c r="G15" s="461">
        <f>105000+1169300-956000-106500+106800+105000-138600</f>
        <v>285000</v>
      </c>
      <c r="H15" s="462"/>
      <c r="I15" s="125"/>
      <c r="J15" s="126"/>
    </row>
    <row r="16" spans="1:10" ht="21.75">
      <c r="A16" s="460" t="s">
        <v>159</v>
      </c>
      <c r="B16" s="460"/>
      <c r="C16" s="460"/>
      <c r="D16" s="460"/>
      <c r="E16" s="460"/>
      <c r="F16" s="94"/>
      <c r="G16" s="458">
        <v>113000</v>
      </c>
      <c r="H16" s="459"/>
      <c r="I16" s="117"/>
      <c r="J16" s="118"/>
    </row>
    <row r="17" spans="1:10" ht="21.75">
      <c r="A17" s="448" t="s">
        <v>6</v>
      </c>
      <c r="B17" s="449"/>
      <c r="C17" s="449"/>
      <c r="D17" s="449"/>
      <c r="E17" s="450"/>
      <c r="F17" s="94" t="s">
        <v>207</v>
      </c>
      <c r="G17" s="461">
        <v>253304</v>
      </c>
      <c r="H17" s="462"/>
      <c r="I17" s="125"/>
      <c r="J17" s="126"/>
    </row>
    <row r="18" spans="1:10" ht="21.75">
      <c r="A18" s="448" t="s">
        <v>134</v>
      </c>
      <c r="B18" s="449"/>
      <c r="C18" s="449"/>
      <c r="D18" s="449"/>
      <c r="E18" s="450"/>
      <c r="F18" s="94" t="s">
        <v>136</v>
      </c>
      <c r="G18" s="461">
        <f>182919.01-9987.1+187797.1+171060</f>
        <v>531789.01</v>
      </c>
      <c r="H18" s="462"/>
      <c r="I18" s="125"/>
      <c r="J18" s="126"/>
    </row>
    <row r="19" spans="1:10" ht="21.75">
      <c r="A19" s="448" t="s">
        <v>135</v>
      </c>
      <c r="B19" s="449"/>
      <c r="C19" s="449"/>
      <c r="D19" s="449"/>
      <c r="E19" s="450"/>
      <c r="F19" s="94" t="s">
        <v>137</v>
      </c>
      <c r="G19" s="461">
        <v>980899</v>
      </c>
      <c r="H19" s="462"/>
      <c r="I19" s="125"/>
      <c r="J19" s="126"/>
    </row>
    <row r="20" spans="1:10" ht="21.75">
      <c r="A20" s="448" t="s">
        <v>210</v>
      </c>
      <c r="B20" s="449"/>
      <c r="C20" s="449"/>
      <c r="D20" s="449"/>
      <c r="E20" s="450"/>
      <c r="F20" s="94" t="s">
        <v>137</v>
      </c>
      <c r="G20" s="461">
        <v>146320</v>
      </c>
      <c r="H20" s="462"/>
      <c r="I20" s="125"/>
      <c r="J20" s="126"/>
    </row>
    <row r="21" spans="1:10" ht="21.75">
      <c r="A21" s="448" t="s">
        <v>7</v>
      </c>
      <c r="B21" s="449"/>
      <c r="C21" s="449"/>
      <c r="D21" s="449"/>
      <c r="E21" s="450"/>
      <c r="F21" s="94" t="s">
        <v>138</v>
      </c>
      <c r="G21" s="461">
        <v>78036</v>
      </c>
      <c r="H21" s="462"/>
      <c r="I21" s="125"/>
      <c r="J21" s="126"/>
    </row>
    <row r="22" spans="1:10" ht="21.75">
      <c r="A22" s="448" t="s">
        <v>8</v>
      </c>
      <c r="B22" s="449"/>
      <c r="C22" s="449"/>
      <c r="D22" s="449"/>
      <c r="E22" s="450"/>
      <c r="F22" s="94" t="s">
        <v>139</v>
      </c>
      <c r="G22" s="461">
        <v>733893.77</v>
      </c>
      <c r="H22" s="462"/>
      <c r="I22" s="125"/>
      <c r="J22" s="126"/>
    </row>
    <row r="23" spans="1:10" ht="21.75">
      <c r="A23" s="448" t="s">
        <v>9</v>
      </c>
      <c r="B23" s="449"/>
      <c r="C23" s="449"/>
      <c r="D23" s="449"/>
      <c r="E23" s="450"/>
      <c r="F23" s="94" t="s">
        <v>140</v>
      </c>
      <c r="G23" s="461">
        <v>78734</v>
      </c>
      <c r="H23" s="462"/>
      <c r="I23" s="125"/>
      <c r="J23" s="126"/>
    </row>
    <row r="24" spans="1:10" ht="21.75">
      <c r="A24" s="448" t="s">
        <v>10</v>
      </c>
      <c r="B24" s="449"/>
      <c r="C24" s="449"/>
      <c r="D24" s="449"/>
      <c r="E24" s="450"/>
      <c r="F24" s="94" t="s">
        <v>141</v>
      </c>
      <c r="G24" s="461">
        <v>240286.7</v>
      </c>
      <c r="H24" s="462"/>
      <c r="I24" s="125"/>
      <c r="J24" s="126"/>
    </row>
    <row r="25" spans="1:10" ht="21.75">
      <c r="A25" s="448" t="s">
        <v>12</v>
      </c>
      <c r="B25" s="449"/>
      <c r="C25" s="449"/>
      <c r="D25" s="449"/>
      <c r="E25" s="450"/>
      <c r="F25" s="94" t="s">
        <v>142</v>
      </c>
      <c r="G25" s="461">
        <v>43122.07</v>
      </c>
      <c r="H25" s="462"/>
      <c r="I25" s="125"/>
      <c r="J25" s="126"/>
    </row>
    <row r="26" spans="1:10" ht="21.75">
      <c r="A26" s="448" t="s">
        <v>58</v>
      </c>
      <c r="B26" s="449"/>
      <c r="C26" s="449"/>
      <c r="D26" s="449"/>
      <c r="E26" s="450"/>
      <c r="F26" s="94" t="s">
        <v>208</v>
      </c>
      <c r="G26" s="461">
        <v>0</v>
      </c>
      <c r="H26" s="462"/>
      <c r="I26" s="125"/>
      <c r="J26" s="126"/>
    </row>
    <row r="27" spans="1:10" ht="21.75">
      <c r="A27" s="463" t="s">
        <v>206</v>
      </c>
      <c r="B27" s="464"/>
      <c r="C27" s="464"/>
      <c r="D27" s="464"/>
      <c r="E27" s="465"/>
      <c r="F27" s="94" t="s">
        <v>144</v>
      </c>
      <c r="G27" s="461">
        <v>0</v>
      </c>
      <c r="H27" s="462"/>
      <c r="I27" s="125"/>
      <c r="J27" s="126"/>
    </row>
    <row r="28" spans="1:10" ht="21.75">
      <c r="A28" s="448" t="s">
        <v>11</v>
      </c>
      <c r="B28" s="449"/>
      <c r="C28" s="449"/>
      <c r="D28" s="449"/>
      <c r="E28" s="450"/>
      <c r="F28" s="94" t="s">
        <v>209</v>
      </c>
      <c r="G28" s="461">
        <v>852800</v>
      </c>
      <c r="H28" s="462"/>
      <c r="I28" s="125"/>
      <c r="J28" s="126"/>
    </row>
    <row r="29" spans="1:10" ht="21.75">
      <c r="A29" s="448" t="s">
        <v>78</v>
      </c>
      <c r="B29" s="449"/>
      <c r="C29" s="449"/>
      <c r="D29" s="449"/>
      <c r="E29" s="450"/>
      <c r="F29" s="94"/>
      <c r="G29" s="461">
        <f>1062500-4800+531500+674463.5</f>
        <v>2263663.5</v>
      </c>
      <c r="H29" s="462"/>
      <c r="I29" s="125"/>
      <c r="J29" s="126"/>
    </row>
    <row r="30" spans="1:10" ht="21.75">
      <c r="A30" s="448" t="s">
        <v>14</v>
      </c>
      <c r="B30" s="449"/>
      <c r="C30" s="449"/>
      <c r="D30" s="449"/>
      <c r="E30" s="450"/>
      <c r="F30" s="94" t="s">
        <v>148</v>
      </c>
      <c r="G30" s="458"/>
      <c r="H30" s="459"/>
      <c r="I30" s="458">
        <f>8728278.23-746900-152000-652000</f>
        <v>7177378.2300000004</v>
      </c>
      <c r="J30" s="459"/>
    </row>
    <row r="31" spans="1:10" ht="21.75">
      <c r="A31" s="448" t="s">
        <v>16</v>
      </c>
      <c r="B31" s="449"/>
      <c r="C31" s="449"/>
      <c r="D31" s="449"/>
      <c r="E31" s="450"/>
      <c r="F31" s="94" t="s">
        <v>154</v>
      </c>
      <c r="G31" s="458"/>
      <c r="H31" s="459"/>
      <c r="I31" s="458">
        <f>5426512.96+1684536.47</f>
        <v>7111049.4299999997</v>
      </c>
      <c r="J31" s="459"/>
    </row>
    <row r="32" spans="1:10" ht="21.75">
      <c r="A32" s="114" t="s">
        <v>197</v>
      </c>
      <c r="B32" s="115"/>
      <c r="C32" s="115"/>
      <c r="D32" s="115"/>
      <c r="E32" s="116"/>
      <c r="F32" s="94" t="s">
        <v>173</v>
      </c>
      <c r="G32" s="461"/>
      <c r="H32" s="462"/>
      <c r="I32" s="461">
        <v>9970</v>
      </c>
      <c r="J32" s="462"/>
    </row>
    <row r="33" spans="1:12" ht="21.75">
      <c r="A33" s="114" t="s">
        <v>115</v>
      </c>
      <c r="B33" s="115"/>
      <c r="C33" s="115"/>
      <c r="D33" s="115"/>
      <c r="E33" s="116"/>
      <c r="F33" s="94" t="s">
        <v>146</v>
      </c>
      <c r="G33" s="461"/>
      <c r="H33" s="462"/>
      <c r="I33" s="461">
        <f>986300-911380</f>
        <v>74920</v>
      </c>
      <c r="J33" s="462"/>
    </row>
    <row r="34" spans="1:12" ht="21.75">
      <c r="A34" s="114" t="s">
        <v>198</v>
      </c>
      <c r="B34" s="115"/>
      <c r="C34" s="115"/>
      <c r="D34" s="115"/>
      <c r="E34" s="116"/>
      <c r="F34" s="94" t="s">
        <v>199</v>
      </c>
      <c r="G34" s="461"/>
      <c r="H34" s="462"/>
      <c r="I34" s="461">
        <f>305660-25660-230400</f>
        <v>49600</v>
      </c>
      <c r="J34" s="462"/>
    </row>
    <row r="35" spans="1:12" ht="21.75">
      <c r="A35" s="448" t="s">
        <v>23</v>
      </c>
      <c r="B35" s="449"/>
      <c r="C35" s="449"/>
      <c r="D35" s="449"/>
      <c r="E35" s="450"/>
      <c r="F35" s="94"/>
      <c r="G35" s="458"/>
      <c r="H35" s="459"/>
      <c r="I35" s="458">
        <v>833864.65</v>
      </c>
      <c r="J35" s="459"/>
    </row>
    <row r="36" spans="1:12" ht="21.75">
      <c r="A36" s="448" t="s">
        <v>300</v>
      </c>
      <c r="B36" s="449"/>
      <c r="C36" s="449"/>
      <c r="D36" s="449"/>
      <c r="E36" s="450"/>
      <c r="F36" s="94" t="s">
        <v>211</v>
      </c>
      <c r="G36" s="125"/>
      <c r="H36" s="126"/>
      <c r="I36" s="461">
        <f>1221333.91+7792423.25+1091025.85+2678118.37</f>
        <v>12782901.379999999</v>
      </c>
      <c r="J36" s="462"/>
    </row>
    <row r="37" spans="1:12" ht="21.75">
      <c r="A37" s="448" t="s">
        <v>17</v>
      </c>
      <c r="B37" s="449"/>
      <c r="C37" s="449" t="s">
        <v>18</v>
      </c>
      <c r="D37" s="449"/>
      <c r="E37" s="450"/>
      <c r="F37" s="94" t="s">
        <v>155</v>
      </c>
      <c r="G37" s="458"/>
      <c r="H37" s="459"/>
      <c r="I37" s="458">
        <v>11226.71</v>
      </c>
      <c r="J37" s="459"/>
    </row>
    <row r="38" spans="1:12" ht="21.75">
      <c r="A38" s="448"/>
      <c r="B38" s="449"/>
      <c r="C38" s="449" t="s">
        <v>19</v>
      </c>
      <c r="D38" s="449"/>
      <c r="E38" s="450"/>
      <c r="F38" s="94" t="s">
        <v>156</v>
      </c>
      <c r="G38" s="458"/>
      <c r="H38" s="459"/>
      <c r="I38" s="458">
        <v>300280</v>
      </c>
      <c r="J38" s="459"/>
    </row>
    <row r="39" spans="1:12" ht="21.75">
      <c r="A39" s="448"/>
      <c r="B39" s="449"/>
      <c r="C39" s="449" t="s">
        <v>20</v>
      </c>
      <c r="D39" s="449"/>
      <c r="E39" s="450"/>
      <c r="F39" s="94" t="s">
        <v>158</v>
      </c>
      <c r="G39" s="458"/>
      <c r="H39" s="459"/>
      <c r="I39" s="466">
        <v>351.95</v>
      </c>
      <c r="J39" s="467"/>
    </row>
    <row r="40" spans="1:12" ht="21.75">
      <c r="A40" s="114"/>
      <c r="B40" s="115"/>
      <c r="C40" s="449" t="s">
        <v>21</v>
      </c>
      <c r="D40" s="449"/>
      <c r="E40" s="450"/>
      <c r="F40" s="94" t="s">
        <v>157</v>
      </c>
      <c r="G40" s="458"/>
      <c r="H40" s="459"/>
      <c r="I40" s="458">
        <v>8046.36</v>
      </c>
      <c r="J40" s="459"/>
    </row>
    <row r="41" spans="1:12" ht="22.5" thickBot="1">
      <c r="A41" s="95"/>
      <c r="B41" s="95"/>
      <c r="C41" s="95"/>
      <c r="D41" s="95"/>
      <c r="E41" s="95"/>
      <c r="F41" s="96"/>
      <c r="G41" s="468">
        <f>SUM(G5:H29)</f>
        <v>28359588.710000001</v>
      </c>
      <c r="H41" s="469"/>
      <c r="I41" s="468">
        <f>SUM(I30:J40)</f>
        <v>28359588.709999997</v>
      </c>
      <c r="J41" s="469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178</v>
      </c>
      <c r="B43" s="66"/>
      <c r="C43" s="66"/>
      <c r="D43" s="65" t="s">
        <v>176</v>
      </c>
      <c r="E43" s="66"/>
      <c r="F43" s="119"/>
      <c r="G43" s="66"/>
      <c r="H43" s="93"/>
      <c r="I43" s="368" t="s">
        <v>406</v>
      </c>
      <c r="J43" s="66"/>
    </row>
    <row r="44" spans="1:12" ht="21.75">
      <c r="A44" s="439" t="s">
        <v>116</v>
      </c>
      <c r="B44" s="439"/>
      <c r="C44" s="65"/>
      <c r="D44" s="65" t="s">
        <v>167</v>
      </c>
      <c r="E44" s="91"/>
      <c r="F44" s="91"/>
      <c r="G44" s="66"/>
      <c r="H44" s="66"/>
      <c r="I44" s="368" t="s">
        <v>59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4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G11:H11"/>
    <mergeCell ref="A12:E12"/>
    <mergeCell ref="G12:H12"/>
    <mergeCell ref="I12:J12"/>
    <mergeCell ref="A13:E13"/>
    <mergeCell ref="G13:H13"/>
    <mergeCell ref="I13:J13"/>
    <mergeCell ref="A14:E14"/>
    <mergeCell ref="G14:H14"/>
    <mergeCell ref="I14:J14"/>
    <mergeCell ref="A16:E16"/>
    <mergeCell ref="G16:H16"/>
    <mergeCell ref="A15:E15"/>
    <mergeCell ref="G15:H15"/>
    <mergeCell ref="A9:E9"/>
    <mergeCell ref="G9:H9"/>
    <mergeCell ref="I9:J9"/>
    <mergeCell ref="A10:E10"/>
    <mergeCell ref="G10:H10"/>
    <mergeCell ref="I10:J10"/>
    <mergeCell ref="A7:E7"/>
    <mergeCell ref="G7:H7"/>
    <mergeCell ref="I7:J7"/>
    <mergeCell ref="A8:E8"/>
    <mergeCell ref="G8:H8"/>
    <mergeCell ref="I8:J8"/>
    <mergeCell ref="A5:E5"/>
    <mergeCell ref="G5:H5"/>
    <mergeCell ref="I5:J5"/>
    <mergeCell ref="A6:E6"/>
    <mergeCell ref="G6:H6"/>
    <mergeCell ref="I6:J6"/>
    <mergeCell ref="A1:J1"/>
    <mergeCell ref="A2:J2"/>
    <mergeCell ref="A3:J3"/>
    <mergeCell ref="A4:E4"/>
    <mergeCell ref="G4:H4"/>
    <mergeCell ref="I4:J4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A10" sqref="A10"/>
    </sheetView>
  </sheetViews>
  <sheetFormatPr defaultRowHeight="23.25"/>
  <cols>
    <col min="1" max="1" width="25.42578125" style="99" customWidth="1"/>
    <col min="2" max="2" width="9.140625" style="99"/>
    <col min="3" max="3" width="13.7109375" style="99" customWidth="1"/>
    <col min="4" max="4" width="12.7109375" style="99" customWidth="1"/>
    <col min="5" max="5" width="12.140625" style="99" customWidth="1"/>
    <col min="6" max="6" width="14.5703125" style="99" customWidth="1"/>
    <col min="7" max="16384" width="9.140625" style="99"/>
  </cols>
  <sheetData>
    <row r="1" spans="1:6">
      <c r="A1" s="470" t="s">
        <v>180</v>
      </c>
      <c r="B1" s="470"/>
      <c r="C1" s="470"/>
      <c r="D1" s="470"/>
      <c r="E1" s="470"/>
      <c r="F1" s="470"/>
    </row>
    <row r="2" spans="1:6">
      <c r="A2" s="470" t="s">
        <v>405</v>
      </c>
      <c r="B2" s="470"/>
      <c r="C2" s="470"/>
      <c r="D2" s="470"/>
      <c r="E2" s="470"/>
      <c r="F2" s="470"/>
    </row>
    <row r="3" spans="1:6">
      <c r="A3" s="108" t="s">
        <v>48</v>
      </c>
      <c r="B3" s="108" t="s">
        <v>2</v>
      </c>
      <c r="C3" s="108" t="s">
        <v>57</v>
      </c>
      <c r="D3" s="108" t="s">
        <v>49</v>
      </c>
      <c r="E3" s="108" t="s">
        <v>50</v>
      </c>
      <c r="F3" s="108" t="s">
        <v>51</v>
      </c>
    </row>
    <row r="4" spans="1:6">
      <c r="A4" s="102" t="s">
        <v>52</v>
      </c>
      <c r="B4" s="103">
        <v>230102</v>
      </c>
      <c r="C4" s="104">
        <v>484.76</v>
      </c>
      <c r="D4" s="104">
        <v>11226.71</v>
      </c>
      <c r="E4" s="104">
        <v>484.76</v>
      </c>
      <c r="F4" s="104">
        <f t="shared" ref="F4:F9" si="0">C4+D4-E4</f>
        <v>11226.71</v>
      </c>
    </row>
    <row r="5" spans="1:6">
      <c r="A5" s="102" t="s">
        <v>53</v>
      </c>
      <c r="B5" s="103">
        <v>230108</v>
      </c>
      <c r="C5" s="104">
        <v>360833</v>
      </c>
      <c r="D5" s="104">
        <v>0</v>
      </c>
      <c r="E5" s="104">
        <v>60553</v>
      </c>
      <c r="F5" s="104">
        <f t="shared" si="0"/>
        <v>300280</v>
      </c>
    </row>
    <row r="6" spans="1:6">
      <c r="A6" s="102" t="s">
        <v>54</v>
      </c>
      <c r="B6" s="103">
        <v>230105</v>
      </c>
      <c r="C6" s="104">
        <v>6353.35</v>
      </c>
      <c r="D6" s="104">
        <v>351.95</v>
      </c>
      <c r="E6" s="104">
        <v>6353.35</v>
      </c>
      <c r="F6" s="104">
        <f t="shared" si="0"/>
        <v>351.94999999999982</v>
      </c>
    </row>
    <row r="7" spans="1:6">
      <c r="A7" s="102" t="s">
        <v>181</v>
      </c>
      <c r="B7" s="103">
        <v>230106</v>
      </c>
      <c r="C7" s="104">
        <v>7624.02</v>
      </c>
      <c r="D7" s="104">
        <v>422.34</v>
      </c>
      <c r="E7" s="104"/>
      <c r="F7" s="104">
        <f t="shared" si="0"/>
        <v>8046.3600000000006</v>
      </c>
    </row>
    <row r="8" spans="1:6">
      <c r="A8" s="102" t="s">
        <v>55</v>
      </c>
      <c r="B8" s="103" t="s">
        <v>5</v>
      </c>
      <c r="C8" s="104">
        <v>833864.65</v>
      </c>
      <c r="D8" s="104"/>
      <c r="E8" s="104"/>
      <c r="F8" s="104">
        <f t="shared" si="0"/>
        <v>833864.65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56</v>
      </c>
      <c r="B12" s="106"/>
      <c r="C12" s="107">
        <f>SUM(C4:C11)</f>
        <v>1209159.78</v>
      </c>
      <c r="D12" s="107">
        <f>SUM(D4:D11)</f>
        <v>12001</v>
      </c>
      <c r="E12" s="107">
        <f>SUM(E4:E11)</f>
        <v>67391.11</v>
      </c>
      <c r="F12" s="107">
        <f>SUM(F4:F11)</f>
        <v>1153769.67</v>
      </c>
    </row>
    <row r="13" spans="1:6" ht="24" thickTop="1"/>
  </sheetData>
  <mergeCells count="2">
    <mergeCell ref="A1:F1"/>
    <mergeCell ref="A2:F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topLeftCell="A61" workbookViewId="0">
      <selection activeCell="A65" sqref="A65"/>
    </sheetView>
  </sheetViews>
  <sheetFormatPr defaultRowHeight="21.75"/>
  <cols>
    <col min="1" max="1" width="9.140625" style="171"/>
    <col min="2" max="2" width="32" style="171" customWidth="1"/>
    <col min="3" max="3" width="14.42578125" style="171" bestFit="1" customWidth="1"/>
    <col min="4" max="4" width="13.285156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71" t="s">
        <v>306</v>
      </c>
      <c r="B1" s="471"/>
      <c r="C1" s="471"/>
      <c r="D1" s="471"/>
      <c r="E1" s="471"/>
      <c r="F1" s="471"/>
    </row>
    <row r="2" spans="1:8" ht="23.25">
      <c r="A2" s="471" t="s">
        <v>257</v>
      </c>
      <c r="B2" s="471"/>
      <c r="C2" s="471"/>
      <c r="D2" s="471"/>
      <c r="E2" s="471"/>
      <c r="F2" s="471"/>
    </row>
    <row r="3" spans="1:8" ht="23.25">
      <c r="A3" s="471" t="s">
        <v>408</v>
      </c>
      <c r="B3" s="471"/>
      <c r="C3" s="471"/>
      <c r="D3" s="471"/>
      <c r="E3" s="471"/>
      <c r="F3" s="471"/>
    </row>
    <row r="4" spans="1:8" ht="23.25">
      <c r="A4" s="172" t="s">
        <v>258</v>
      </c>
      <c r="B4" s="172"/>
      <c r="C4" s="173"/>
      <c r="D4" s="173"/>
      <c r="E4" s="173"/>
      <c r="F4" s="174"/>
    </row>
    <row r="5" spans="1:8">
      <c r="A5" s="472" t="s">
        <v>73</v>
      </c>
      <c r="B5" s="473"/>
      <c r="C5" s="476" t="s">
        <v>71</v>
      </c>
      <c r="D5" s="476" t="s">
        <v>259</v>
      </c>
      <c r="E5" s="175" t="s">
        <v>260</v>
      </c>
      <c r="F5" s="175" t="s">
        <v>261</v>
      </c>
    </row>
    <row r="6" spans="1:8">
      <c r="A6" s="474"/>
      <c r="B6" s="475"/>
      <c r="C6" s="477"/>
      <c r="D6" s="477"/>
      <c r="E6" s="176" t="s">
        <v>262</v>
      </c>
      <c r="F6" s="176" t="s">
        <v>263</v>
      </c>
    </row>
    <row r="7" spans="1:8" s="181" customFormat="1" ht="21">
      <c r="A7" s="177" t="s">
        <v>264</v>
      </c>
      <c r="B7" s="178"/>
      <c r="C7" s="179">
        <f>C8+C12+C23+C26+C29+C33</f>
        <v>590020</v>
      </c>
      <c r="D7" s="179">
        <f>D8+D12+D23+D26+D29+D33</f>
        <v>369533.75</v>
      </c>
      <c r="E7" s="180" t="s">
        <v>5</v>
      </c>
      <c r="F7" s="179">
        <f>C7-D7</f>
        <v>220486.25</v>
      </c>
    </row>
    <row r="8" spans="1:8">
      <c r="A8" s="182" t="s">
        <v>130</v>
      </c>
      <c r="B8" s="183"/>
      <c r="C8" s="184">
        <f>SUM(C9:C11)</f>
        <v>167000</v>
      </c>
      <c r="D8" s="184">
        <f>D9+D10+D11</f>
        <v>21700.87</v>
      </c>
      <c r="E8" s="185" t="s">
        <v>5</v>
      </c>
      <c r="F8" s="186">
        <f t="shared" ref="F8:F51" si="0">C8-D8</f>
        <v>145299.13</v>
      </c>
      <c r="H8" s="187"/>
    </row>
    <row r="9" spans="1:8">
      <c r="A9" s="188"/>
      <c r="B9" s="189" t="s">
        <v>265</v>
      </c>
      <c r="C9" s="190">
        <v>42000</v>
      </c>
      <c r="D9" s="190">
        <v>0</v>
      </c>
      <c r="E9" s="191" t="s">
        <v>5</v>
      </c>
      <c r="F9" s="192">
        <f t="shared" si="0"/>
        <v>42000</v>
      </c>
    </row>
    <row r="10" spans="1:8">
      <c r="A10" s="188"/>
      <c r="B10" s="189" t="s">
        <v>266</v>
      </c>
      <c r="C10" s="190">
        <v>120000</v>
      </c>
      <c r="D10" s="190">
        <f>14543.49+211.82+680.85+6264.71</f>
        <v>21700.87</v>
      </c>
      <c r="E10" s="191" t="s">
        <v>5</v>
      </c>
      <c r="F10" s="192">
        <f t="shared" si="0"/>
        <v>98299.13</v>
      </c>
    </row>
    <row r="11" spans="1:8">
      <c r="A11" s="188"/>
      <c r="B11" s="189" t="s">
        <v>267</v>
      </c>
      <c r="C11" s="190">
        <v>5000</v>
      </c>
      <c r="D11" s="190">
        <v>0</v>
      </c>
      <c r="E11" s="193" t="s">
        <v>5</v>
      </c>
      <c r="F11" s="192">
        <f t="shared" si="0"/>
        <v>5000</v>
      </c>
    </row>
    <row r="12" spans="1:8">
      <c r="A12" s="182" t="s">
        <v>129</v>
      </c>
      <c r="B12" s="189"/>
      <c r="C12" s="184">
        <f>SUM(C13:C22)</f>
        <v>12020</v>
      </c>
      <c r="D12" s="184">
        <f>SUM(D13:D21)</f>
        <v>61984</v>
      </c>
      <c r="E12" s="185" t="s">
        <v>5</v>
      </c>
      <c r="F12" s="186">
        <f t="shared" si="0"/>
        <v>-49964</v>
      </c>
    </row>
    <row r="13" spans="1:8">
      <c r="A13" s="188"/>
      <c r="B13" s="189" t="s">
        <v>268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269</v>
      </c>
      <c r="C14" s="190">
        <v>1000</v>
      </c>
      <c r="D14" s="194">
        <v>70</v>
      </c>
      <c r="E14" s="191" t="s">
        <v>5</v>
      </c>
      <c r="F14" s="192">
        <f t="shared" si="0"/>
        <v>930</v>
      </c>
    </row>
    <row r="15" spans="1:8">
      <c r="A15" s="188"/>
      <c r="B15" s="189" t="s">
        <v>270</v>
      </c>
      <c r="C15" s="190">
        <v>0</v>
      </c>
      <c r="D15" s="194">
        <v>10</v>
      </c>
      <c r="E15" s="191"/>
      <c r="F15" s="192">
        <f t="shared" si="0"/>
        <v>-10</v>
      </c>
    </row>
    <row r="16" spans="1:8">
      <c r="A16" s="188"/>
      <c r="B16" s="189" t="s">
        <v>271</v>
      </c>
      <c r="C16" s="190">
        <v>1000</v>
      </c>
      <c r="D16" s="194">
        <v>0</v>
      </c>
      <c r="E16" s="191" t="s">
        <v>5</v>
      </c>
      <c r="F16" s="192">
        <f t="shared" si="0"/>
        <v>1000</v>
      </c>
    </row>
    <row r="17" spans="1:6">
      <c r="A17" s="188"/>
      <c r="B17" s="195" t="s">
        <v>272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273</v>
      </c>
      <c r="C18" s="190">
        <v>10000</v>
      </c>
      <c r="D18" s="194">
        <v>61904</v>
      </c>
      <c r="E18" s="191" t="s">
        <v>5</v>
      </c>
      <c r="F18" s="192">
        <f t="shared" si="0"/>
        <v>-51904</v>
      </c>
    </row>
    <row r="19" spans="1:6">
      <c r="A19" s="188"/>
      <c r="B19" s="195" t="s">
        <v>274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275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276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128</v>
      </c>
      <c r="B23" s="198"/>
      <c r="C23" s="184">
        <f>SUM(C24:C24)</f>
        <v>70000</v>
      </c>
      <c r="D23" s="184">
        <f>SUM(D24:D24)</f>
        <v>96688.87999999999</v>
      </c>
      <c r="E23" s="185" t="s">
        <v>5</v>
      </c>
      <c r="F23" s="186">
        <f t="shared" si="0"/>
        <v>-26688.87999999999</v>
      </c>
    </row>
    <row r="24" spans="1:6">
      <c r="A24" s="188"/>
      <c r="B24" s="195" t="s">
        <v>277</v>
      </c>
      <c r="C24" s="190">
        <v>70000</v>
      </c>
      <c r="D24" s="194">
        <f>48231.77+21078.47+27378.64</f>
        <v>96688.87999999999</v>
      </c>
      <c r="E24" s="191" t="s">
        <v>5</v>
      </c>
      <c r="F24" s="192">
        <f t="shared" si="0"/>
        <v>-26688.87999999999</v>
      </c>
    </row>
    <row r="25" spans="1:6">
      <c r="A25" s="188"/>
      <c r="B25" s="195"/>
      <c r="C25" s="190"/>
      <c r="D25" s="194"/>
      <c r="E25" s="193"/>
      <c r="F25" s="192">
        <f t="shared" si="0"/>
        <v>0</v>
      </c>
    </row>
    <row r="26" spans="1:6">
      <c r="A26" s="182" t="s">
        <v>127</v>
      </c>
      <c r="B26" s="198"/>
      <c r="C26" s="184">
        <f>SUM(C27)</f>
        <v>320000</v>
      </c>
      <c r="D26" s="199">
        <f>D27</f>
        <v>186460</v>
      </c>
      <c r="E26" s="185" t="s">
        <v>5</v>
      </c>
      <c r="F26" s="186">
        <f t="shared" si="0"/>
        <v>133540</v>
      </c>
    </row>
    <row r="27" spans="1:6">
      <c r="A27" s="188"/>
      <c r="B27" s="189" t="s">
        <v>278</v>
      </c>
      <c r="C27" s="190">
        <v>320000</v>
      </c>
      <c r="D27" s="194">
        <f>40440+62700+38185+45135</f>
        <v>186460</v>
      </c>
      <c r="E27" s="191" t="s">
        <v>5</v>
      </c>
      <c r="F27" s="200">
        <f t="shared" si="0"/>
        <v>133540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126</v>
      </c>
      <c r="B29" s="198"/>
      <c r="C29" s="184">
        <f>SUM(C30:C31)</f>
        <v>21000</v>
      </c>
      <c r="D29" s="199">
        <f>D30+D31</f>
        <v>2700</v>
      </c>
      <c r="E29" s="185" t="s">
        <v>5</v>
      </c>
      <c r="F29" s="200">
        <f t="shared" si="0"/>
        <v>18300</v>
      </c>
    </row>
    <row r="30" spans="1:6">
      <c r="A30" s="188"/>
      <c r="B30" s="189" t="s">
        <v>279</v>
      </c>
      <c r="C30" s="190">
        <v>20000</v>
      </c>
      <c r="D30" s="194">
        <v>0</v>
      </c>
      <c r="E30" s="191" t="s">
        <v>5</v>
      </c>
      <c r="F30" s="200">
        <f t="shared" si="0"/>
        <v>20000</v>
      </c>
    </row>
    <row r="31" spans="1:6">
      <c r="A31" s="188"/>
      <c r="B31" s="189" t="s">
        <v>280</v>
      </c>
      <c r="C31" s="190">
        <v>1000</v>
      </c>
      <c r="D31" s="194">
        <v>2700</v>
      </c>
      <c r="E31" s="191" t="s">
        <v>5</v>
      </c>
      <c r="F31" s="192">
        <f t="shared" si="0"/>
        <v>-1700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281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282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283</v>
      </c>
      <c r="B39" s="178"/>
      <c r="C39" s="206"/>
      <c r="D39" s="206"/>
      <c r="E39" s="341"/>
      <c r="F39" s="179"/>
    </row>
    <row r="40" spans="1:7" s="181" customFormat="1">
      <c r="A40" s="204" t="s">
        <v>125</v>
      </c>
      <c r="B40" s="205"/>
      <c r="C40" s="206">
        <f>SUM(C41:C49)</f>
        <v>10937000</v>
      </c>
      <c r="D40" s="206">
        <f>SUM(D41:D49)</f>
        <v>5023165.7</v>
      </c>
      <c r="E40" s="207" t="s">
        <v>5</v>
      </c>
      <c r="F40" s="186">
        <f t="shared" si="0"/>
        <v>5913834.2999999998</v>
      </c>
    </row>
    <row r="41" spans="1:7">
      <c r="A41" s="188"/>
      <c r="B41" s="189" t="s">
        <v>284</v>
      </c>
      <c r="C41" s="190">
        <v>4600000</v>
      </c>
      <c r="D41" s="190">
        <f>592574.85+565573.34+95081.74+1228421.34</f>
        <v>2481651.27</v>
      </c>
      <c r="E41" s="191" t="s">
        <v>5</v>
      </c>
      <c r="F41" s="192">
        <f t="shared" si="0"/>
        <v>2118348.73</v>
      </c>
    </row>
    <row r="42" spans="1:7">
      <c r="A42" s="188"/>
      <c r="B42" s="189" t="s">
        <v>285</v>
      </c>
      <c r="C42" s="190">
        <v>2400000</v>
      </c>
      <c r="D42" s="190">
        <f>188843.21+300892.09+487185.15</f>
        <v>976920.45000000007</v>
      </c>
      <c r="E42" s="191" t="s">
        <v>5</v>
      </c>
      <c r="F42" s="192">
        <f t="shared" si="0"/>
        <v>1423079.5499999998</v>
      </c>
    </row>
    <row r="43" spans="1:7">
      <c r="A43" s="188"/>
      <c r="B43" s="189" t="s">
        <v>286</v>
      </c>
      <c r="C43" s="190">
        <v>75000</v>
      </c>
      <c r="D43" s="190">
        <v>0</v>
      </c>
      <c r="E43" s="191" t="s">
        <v>5</v>
      </c>
      <c r="F43" s="192">
        <f t="shared" si="0"/>
        <v>75000</v>
      </c>
    </row>
    <row r="44" spans="1:7">
      <c r="A44" s="188"/>
      <c r="B44" s="189" t="s">
        <v>287</v>
      </c>
      <c r="C44" s="190">
        <v>1200000</v>
      </c>
      <c r="D44" s="190">
        <f>92757.71+115256.76+251665.26</f>
        <v>459679.73</v>
      </c>
      <c r="E44" s="191" t="s">
        <v>5</v>
      </c>
      <c r="F44" s="192">
        <f t="shared" si="0"/>
        <v>740320.27</v>
      </c>
    </row>
    <row r="45" spans="1:7">
      <c r="A45" s="188" t="s">
        <v>288</v>
      </c>
      <c r="B45" s="189" t="s">
        <v>289</v>
      </c>
      <c r="C45" s="190">
        <v>2300000</v>
      </c>
      <c r="D45" s="190">
        <f>239048.88+254365.91+561227.27</f>
        <v>1054642.06</v>
      </c>
      <c r="E45" s="191" t="s">
        <v>5</v>
      </c>
      <c r="F45" s="192">
        <f t="shared" si="0"/>
        <v>1245357.94</v>
      </c>
    </row>
    <row r="46" spans="1:7">
      <c r="A46" s="188"/>
      <c r="B46" s="189" t="s">
        <v>290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291</v>
      </c>
      <c r="C47" s="190">
        <v>100000</v>
      </c>
      <c r="D47" s="190">
        <f>31243.19</f>
        <v>31243.19</v>
      </c>
      <c r="E47" s="191" t="s">
        <v>5</v>
      </c>
      <c r="F47" s="192">
        <f t="shared" si="0"/>
        <v>68756.81</v>
      </c>
    </row>
    <row r="48" spans="1:7">
      <c r="A48" s="188"/>
      <c r="B48" s="189" t="s">
        <v>292</v>
      </c>
      <c r="C48" s="190">
        <v>180000</v>
      </c>
      <c r="D48" s="190">
        <f>3794+7978+6237</f>
        <v>18009</v>
      </c>
      <c r="E48" s="191" t="s">
        <v>5</v>
      </c>
      <c r="F48" s="192">
        <f t="shared" si="0"/>
        <v>161991</v>
      </c>
      <c r="G48" s="187"/>
    </row>
    <row r="49" spans="1:7">
      <c r="A49" s="188"/>
      <c r="B49" s="189" t="s">
        <v>388</v>
      </c>
      <c r="C49" s="190">
        <v>2000</v>
      </c>
      <c r="D49" s="190">
        <v>1020</v>
      </c>
      <c r="E49" s="191" t="s">
        <v>5</v>
      </c>
      <c r="F49" s="208">
        <f t="shared" si="0"/>
        <v>980</v>
      </c>
      <c r="G49" s="187"/>
    </row>
    <row r="50" spans="1:7" s="181" customFormat="1">
      <c r="A50" s="202" t="s">
        <v>293</v>
      </c>
      <c r="B50" s="203"/>
      <c r="C50" s="209">
        <f>SUM(C51:C62)</f>
        <v>10700000</v>
      </c>
      <c r="D50" s="209">
        <f>SUM(D51)</f>
        <v>4430138.43</v>
      </c>
      <c r="E50" s="207" t="s">
        <v>5</v>
      </c>
      <c r="F50" s="192">
        <f t="shared" si="0"/>
        <v>6269861.5700000003</v>
      </c>
    </row>
    <row r="51" spans="1:7">
      <c r="A51" s="188"/>
      <c r="B51" s="189" t="s">
        <v>294</v>
      </c>
      <c r="C51" s="194">
        <v>10700000</v>
      </c>
      <c r="D51" s="201">
        <f>4430138.43</f>
        <v>4430138.43</v>
      </c>
      <c r="E51" s="193" t="s">
        <v>5</v>
      </c>
      <c r="F51" s="200">
        <f t="shared" si="0"/>
        <v>6269861.5700000003</v>
      </c>
    </row>
    <row r="52" spans="1:7">
      <c r="A52" s="188"/>
      <c r="B52" s="189"/>
      <c r="C52" s="194"/>
      <c r="D52" s="201"/>
      <c r="E52" s="193"/>
      <c r="F52" s="190"/>
    </row>
    <row r="53" spans="1:7">
      <c r="A53" s="202" t="s">
        <v>295</v>
      </c>
      <c r="B53" s="203"/>
      <c r="C53" s="209"/>
      <c r="D53" s="209">
        <f>SUM(D54:D62)</f>
        <v>2960063.5</v>
      </c>
      <c r="E53" s="207" t="s">
        <v>5</v>
      </c>
      <c r="F53" s="206">
        <v>0</v>
      </c>
    </row>
    <row r="54" spans="1:7">
      <c r="A54" s="202"/>
      <c r="B54" s="189" t="s">
        <v>296</v>
      </c>
      <c r="C54" s="190"/>
      <c r="D54" s="190">
        <v>2403500</v>
      </c>
      <c r="E54" s="193" t="s">
        <v>5</v>
      </c>
      <c r="F54" s="190">
        <f t="shared" ref="F54:F61" si="1">D54</f>
        <v>2403500</v>
      </c>
    </row>
    <row r="55" spans="1:7">
      <c r="A55" s="188"/>
      <c r="B55" s="189" t="s">
        <v>297</v>
      </c>
      <c r="C55" s="190"/>
      <c r="D55" s="190">
        <v>270000</v>
      </c>
      <c r="E55" s="193" t="s">
        <v>5</v>
      </c>
      <c r="F55" s="190">
        <f t="shared" si="1"/>
        <v>270000</v>
      </c>
    </row>
    <row r="56" spans="1:7">
      <c r="A56" s="188"/>
      <c r="B56" s="189" t="s">
        <v>298</v>
      </c>
      <c r="C56" s="190"/>
      <c r="D56" s="190">
        <v>86490</v>
      </c>
      <c r="E56" s="193" t="s">
        <v>5</v>
      </c>
      <c r="F56" s="190">
        <f t="shared" si="1"/>
        <v>86490</v>
      </c>
    </row>
    <row r="57" spans="1:7">
      <c r="A57" s="188"/>
      <c r="B57" s="189" t="s">
        <v>399</v>
      </c>
      <c r="C57" s="190"/>
      <c r="D57" s="190">
        <v>48510</v>
      </c>
      <c r="E57" s="193" t="s">
        <v>5</v>
      </c>
      <c r="F57" s="190">
        <f t="shared" si="1"/>
        <v>48510</v>
      </c>
    </row>
    <row r="58" spans="1:7">
      <c r="A58" s="188"/>
      <c r="B58" s="189" t="s">
        <v>400</v>
      </c>
      <c r="C58" s="190"/>
      <c r="D58" s="190">
        <v>84960</v>
      </c>
      <c r="E58" s="193" t="s">
        <v>5</v>
      </c>
      <c r="F58" s="190">
        <f t="shared" si="1"/>
        <v>84960</v>
      </c>
    </row>
    <row r="59" spans="1:7">
      <c r="A59" s="188"/>
      <c r="B59" s="189" t="s">
        <v>401</v>
      </c>
      <c r="C59" s="190"/>
      <c r="D59" s="190">
        <v>50040</v>
      </c>
      <c r="E59" s="193" t="s">
        <v>5</v>
      </c>
      <c r="F59" s="190">
        <f t="shared" si="1"/>
        <v>50040</v>
      </c>
    </row>
    <row r="60" spans="1:7">
      <c r="A60" s="188"/>
      <c r="B60" s="189" t="s">
        <v>402</v>
      </c>
      <c r="C60" s="190"/>
      <c r="D60" s="190">
        <v>5400</v>
      </c>
      <c r="E60" s="193" t="s">
        <v>5</v>
      </c>
      <c r="F60" s="190">
        <f t="shared" si="1"/>
        <v>5400</v>
      </c>
    </row>
    <row r="61" spans="1:7">
      <c r="A61" s="188"/>
      <c r="B61" s="189" t="s">
        <v>403</v>
      </c>
      <c r="C61" s="190"/>
      <c r="D61" s="190">
        <v>11163.5</v>
      </c>
      <c r="E61" s="193"/>
      <c r="F61" s="190">
        <f t="shared" si="1"/>
        <v>11163.5</v>
      </c>
    </row>
    <row r="62" spans="1:7">
      <c r="A62" s="188"/>
      <c r="B62" s="189"/>
      <c r="C62" s="190"/>
      <c r="D62" s="190"/>
      <c r="E62" s="193"/>
      <c r="F62" s="190"/>
    </row>
    <row r="63" spans="1:7" s="181" customFormat="1" ht="21">
      <c r="A63" s="210" t="s">
        <v>299</v>
      </c>
      <c r="B63" s="211"/>
      <c r="C63" s="209">
        <f>+C7+C40+C50</f>
        <v>22227020</v>
      </c>
      <c r="D63" s="209">
        <f>D7+D40+D50</f>
        <v>9822837.879999999</v>
      </c>
      <c r="E63" s="207" t="s">
        <v>5</v>
      </c>
      <c r="F63" s="206">
        <f>+C63-D63</f>
        <v>12404182.120000001</v>
      </c>
      <c r="G63" s="212"/>
    </row>
    <row r="64" spans="1:7" s="181" customFormat="1" ht="21">
      <c r="A64" s="213"/>
      <c r="B64" s="214"/>
      <c r="C64" s="215"/>
      <c r="D64" s="215"/>
      <c r="E64" s="216"/>
      <c r="F64" s="217"/>
      <c r="G64" s="212"/>
    </row>
    <row r="65" spans="1:10">
      <c r="A65" s="218"/>
      <c r="B65" s="218"/>
      <c r="C65" s="218"/>
      <c r="D65" s="218"/>
      <c r="E65" s="218"/>
      <c r="F65" s="218"/>
    </row>
    <row r="66" spans="1:10">
      <c r="A66" s="219"/>
      <c r="B66" s="219"/>
      <c r="C66" s="219"/>
      <c r="D66" s="219"/>
      <c r="E66" s="219"/>
      <c r="F66" s="218"/>
    </row>
    <row r="67" spans="1:10">
      <c r="A67" s="219"/>
      <c r="B67" s="219"/>
      <c r="C67" s="219"/>
      <c r="D67" s="219"/>
      <c r="E67" s="219"/>
      <c r="F67" s="218"/>
    </row>
    <row r="68" spans="1:10">
      <c r="D68" s="220"/>
      <c r="F68" s="187"/>
      <c r="H68" s="187"/>
    </row>
    <row r="69" spans="1:10">
      <c r="D69" s="220"/>
      <c r="F69" s="187"/>
    </row>
    <row r="70" spans="1:10">
      <c r="D70" s="220"/>
    </row>
    <row r="71" spans="1:10">
      <c r="D71" s="220"/>
    </row>
    <row r="72" spans="1:10">
      <c r="D72" s="220"/>
    </row>
    <row r="75" spans="1:10">
      <c r="J75" s="171">
        <f>4020907.23-4023137.23</f>
        <v>-2230</v>
      </c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14" sqref="C14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1" t="s">
        <v>306</v>
      </c>
      <c r="B1" s="471"/>
      <c r="C1" s="471"/>
      <c r="D1" s="471"/>
      <c r="E1" s="471"/>
    </row>
    <row r="2" spans="1:8" ht="23.25">
      <c r="A2" s="471" t="s">
        <v>301</v>
      </c>
      <c r="B2" s="471"/>
      <c r="C2" s="471"/>
      <c r="D2" s="471"/>
      <c r="E2" s="471"/>
    </row>
    <row r="3" spans="1:8" ht="23.25">
      <c r="A3" s="471" t="s">
        <v>409</v>
      </c>
      <c r="B3" s="471"/>
      <c r="C3" s="471"/>
      <c r="D3" s="471"/>
      <c r="E3" s="471"/>
    </row>
    <row r="4" spans="1:8" ht="23.25">
      <c r="A4" s="221" t="s">
        <v>389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0" t="s">
        <v>302</v>
      </c>
      <c r="B6" s="480" t="s">
        <v>69</v>
      </c>
      <c r="C6" s="480" t="s">
        <v>303</v>
      </c>
      <c r="D6" s="480" t="s">
        <v>304</v>
      </c>
      <c r="E6" s="480" t="s">
        <v>305</v>
      </c>
    </row>
    <row r="7" spans="1:8" ht="38.25" customHeight="1">
      <c r="A7" s="481"/>
      <c r="B7" s="481"/>
      <c r="C7" s="481"/>
      <c r="D7" s="481"/>
      <c r="E7" s="481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385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386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387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395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410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78" t="s">
        <v>56</v>
      </c>
      <c r="B30" s="479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B7" sqref="B7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84" t="s">
        <v>24</v>
      </c>
      <c r="B1" s="485"/>
      <c r="C1" s="485"/>
      <c r="D1" s="485"/>
      <c r="E1" s="485"/>
      <c r="F1" s="485"/>
      <c r="G1" s="486"/>
      <c r="H1" s="484" t="s">
        <v>25</v>
      </c>
      <c r="I1" s="485"/>
      <c r="J1" s="486"/>
      <c r="K1" s="1"/>
    </row>
    <row r="2" spans="1:12" ht="21.75" customHeight="1">
      <c r="A2" s="487" t="s">
        <v>26</v>
      </c>
      <c r="B2" s="488"/>
      <c r="C2" s="488"/>
      <c r="D2" s="488"/>
      <c r="E2" s="488"/>
      <c r="F2" s="488"/>
      <c r="G2" s="489"/>
      <c r="H2" s="490" t="s">
        <v>171</v>
      </c>
      <c r="I2" s="491"/>
      <c r="J2" s="492"/>
    </row>
    <row r="3" spans="1:12" ht="12.75" customHeight="1">
      <c r="A3" s="3"/>
      <c r="B3" s="4"/>
      <c r="C3" s="5"/>
      <c r="D3" s="6"/>
      <c r="E3" s="5"/>
      <c r="F3" s="5"/>
      <c r="G3" s="7"/>
      <c r="H3" s="493" t="s">
        <v>28</v>
      </c>
      <c r="I3" s="494"/>
      <c r="J3" s="495"/>
    </row>
    <row r="4" spans="1:12" ht="18.75" customHeight="1">
      <c r="A4" s="8"/>
      <c r="B4" s="9" t="s">
        <v>416</v>
      </c>
      <c r="C4" s="9"/>
      <c r="D4" s="9"/>
      <c r="E4" s="496">
        <v>239631</v>
      </c>
      <c r="F4" s="496"/>
      <c r="G4" s="10"/>
      <c r="H4" s="11"/>
      <c r="I4" s="12">
        <v>10922533.85</v>
      </c>
      <c r="J4" s="13"/>
    </row>
    <row r="5" spans="1:12" ht="17.25" customHeight="1">
      <c r="A5" s="8"/>
      <c r="B5" s="14" t="s">
        <v>165</v>
      </c>
      <c r="C5" s="9"/>
      <c r="D5" s="9"/>
      <c r="E5" s="9"/>
      <c r="F5" s="9"/>
      <c r="G5" s="10"/>
      <c r="H5" s="8"/>
      <c r="I5" s="9"/>
      <c r="J5" s="10"/>
      <c r="L5" s="27">
        <f>I4+I7</f>
        <v>10922533.85</v>
      </c>
    </row>
    <row r="6" spans="1:12" ht="16.5" customHeight="1">
      <c r="A6" s="8"/>
      <c r="B6" s="15" t="s">
        <v>30</v>
      </c>
      <c r="C6" s="16"/>
      <c r="D6" s="15" t="s">
        <v>31</v>
      </c>
      <c r="E6" s="16"/>
      <c r="F6" s="17" t="s">
        <v>32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36</v>
      </c>
      <c r="C9" s="9"/>
      <c r="D9" s="9"/>
      <c r="E9" s="9"/>
      <c r="F9" s="9"/>
      <c r="G9" s="10"/>
      <c r="H9" s="8"/>
      <c r="I9" s="9"/>
      <c r="J9" s="10"/>
      <c r="L9" s="90">
        <f>L5-I33</f>
        <v>293171.08999999985</v>
      </c>
    </row>
    <row r="10" spans="1:12" ht="18.95" customHeight="1">
      <c r="A10" s="8"/>
      <c r="B10" s="111"/>
      <c r="C10" s="9"/>
      <c r="D10" s="111" t="s">
        <v>38</v>
      </c>
      <c r="E10" s="9"/>
      <c r="F10" s="19" t="s">
        <v>32</v>
      </c>
      <c r="G10" s="10"/>
      <c r="H10" s="8"/>
      <c r="I10" s="9"/>
      <c r="J10" s="10"/>
    </row>
    <row r="11" spans="1:12" ht="18.95" customHeight="1">
      <c r="A11" s="8"/>
      <c r="B11" s="20" t="s">
        <v>411</v>
      </c>
      <c r="C11" s="370" t="s">
        <v>184</v>
      </c>
      <c r="D11" s="355">
        <v>2817222</v>
      </c>
      <c r="E11" s="9"/>
      <c r="F11" s="21">
        <f>980+4800</f>
        <v>5780</v>
      </c>
      <c r="G11" s="10"/>
      <c r="H11" s="8"/>
      <c r="I11" s="9"/>
      <c r="J11" s="10"/>
    </row>
    <row r="12" spans="1:12" ht="18.95" customHeight="1">
      <c r="A12" s="8"/>
      <c r="B12" s="20" t="s">
        <v>411</v>
      </c>
      <c r="C12" s="370" t="s">
        <v>184</v>
      </c>
      <c r="D12" s="355">
        <v>2817244</v>
      </c>
      <c r="E12" s="9"/>
      <c r="F12" s="21">
        <v>870</v>
      </c>
      <c r="G12" s="10"/>
      <c r="H12" s="8"/>
      <c r="I12" s="9"/>
      <c r="J12" s="10"/>
    </row>
    <row r="13" spans="1:12" ht="18.95" customHeight="1">
      <c r="A13" s="8"/>
      <c r="B13" s="20" t="s">
        <v>412</v>
      </c>
      <c r="C13" s="370" t="s">
        <v>184</v>
      </c>
      <c r="D13" s="109">
        <v>2817233</v>
      </c>
      <c r="E13" s="9"/>
      <c r="F13" s="110">
        <f>297.2+3229.53+5468.41+356.64</f>
        <v>9351.7799999999988</v>
      </c>
      <c r="G13" s="10"/>
      <c r="H13" s="8"/>
      <c r="I13" s="59"/>
      <c r="J13" s="10"/>
    </row>
    <row r="14" spans="1:12" ht="18.95" customHeight="1">
      <c r="A14" s="8"/>
      <c r="B14" s="20" t="s">
        <v>412</v>
      </c>
      <c r="C14" s="370" t="s">
        <v>184</v>
      </c>
      <c r="D14" s="111">
        <v>2817235</v>
      </c>
      <c r="E14" s="9"/>
      <c r="F14" s="21">
        <f>1960+800</f>
        <v>2760</v>
      </c>
      <c r="G14" s="10"/>
      <c r="H14" s="8"/>
      <c r="I14" s="124">
        <f>SUM(F11:F20)</f>
        <v>293171.09000000003</v>
      </c>
      <c r="J14" s="10"/>
    </row>
    <row r="15" spans="1:12" ht="18.95" customHeight="1">
      <c r="A15" s="8"/>
      <c r="B15" s="20" t="s">
        <v>412</v>
      </c>
      <c r="C15" s="370" t="s">
        <v>184</v>
      </c>
      <c r="D15" s="111">
        <v>2817238</v>
      </c>
      <c r="E15" s="9"/>
      <c r="F15" s="21">
        <v>3348.8</v>
      </c>
      <c r="G15" s="10"/>
      <c r="H15" s="8"/>
      <c r="I15" s="9"/>
      <c r="J15" s="10"/>
    </row>
    <row r="16" spans="1:12" ht="18.95" customHeight="1">
      <c r="A16" s="8"/>
      <c r="B16" s="20" t="s">
        <v>412</v>
      </c>
      <c r="C16" s="370" t="s">
        <v>184</v>
      </c>
      <c r="D16" s="111">
        <v>2817239</v>
      </c>
      <c r="E16" s="9"/>
      <c r="F16" s="21">
        <v>3810</v>
      </c>
      <c r="G16" s="10"/>
      <c r="H16" s="8"/>
      <c r="I16" s="9"/>
      <c r="J16" s="10"/>
    </row>
    <row r="17" spans="1:12" ht="18.95" customHeight="1">
      <c r="A17" s="8"/>
      <c r="B17" s="20" t="s">
        <v>413</v>
      </c>
      <c r="C17" s="370" t="s">
        <v>184</v>
      </c>
      <c r="D17" s="111">
        <v>2817245</v>
      </c>
      <c r="E17" s="9"/>
      <c r="F17" s="21">
        <v>6760</v>
      </c>
      <c r="G17" s="10"/>
      <c r="H17" s="8"/>
      <c r="J17" s="10"/>
      <c r="L17" s="27">
        <f>I4-I33</f>
        <v>293171.08999999985</v>
      </c>
    </row>
    <row r="18" spans="1:12" ht="18.95" customHeight="1">
      <c r="A18" s="8"/>
      <c r="B18" s="20" t="s">
        <v>414</v>
      </c>
      <c r="C18" s="370" t="s">
        <v>184</v>
      </c>
      <c r="D18" s="111">
        <v>2817249</v>
      </c>
      <c r="E18" s="9"/>
      <c r="F18" s="21">
        <v>44648.78</v>
      </c>
      <c r="G18" s="10"/>
      <c r="H18" s="8"/>
      <c r="I18" s="59"/>
      <c r="J18" s="10"/>
      <c r="L18" s="27"/>
    </row>
    <row r="19" spans="1:12" ht="18.95" customHeight="1">
      <c r="A19" s="8"/>
      <c r="B19" s="20" t="s">
        <v>415</v>
      </c>
      <c r="C19" s="370" t="s">
        <v>184</v>
      </c>
      <c r="D19" s="111">
        <v>2817253</v>
      </c>
      <c r="E19" s="9"/>
      <c r="F19" s="21">
        <v>9075</v>
      </c>
      <c r="G19" s="10"/>
      <c r="H19" s="8"/>
      <c r="I19" s="59"/>
      <c r="J19" s="10"/>
      <c r="L19" s="27"/>
    </row>
    <row r="20" spans="1:12" ht="18.95" customHeight="1">
      <c r="A20" s="8"/>
      <c r="B20" s="20" t="s">
        <v>415</v>
      </c>
      <c r="C20" s="370" t="s">
        <v>184</v>
      </c>
      <c r="D20" s="111">
        <v>2817254</v>
      </c>
      <c r="E20" s="9"/>
      <c r="F20" s="21">
        <v>206766.73</v>
      </c>
      <c r="G20" s="10"/>
      <c r="H20" s="8"/>
      <c r="I20" s="59"/>
      <c r="J20" s="10"/>
      <c r="L20" s="27">
        <f>SUM(F19:F22)</f>
        <v>215841.73</v>
      </c>
    </row>
    <row r="21" spans="1:12" ht="18.95" customHeight="1">
      <c r="A21" s="8"/>
      <c r="B21" s="20"/>
      <c r="C21" s="111"/>
      <c r="D21" s="111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111"/>
      <c r="D23" s="109"/>
      <c r="E23" s="9"/>
      <c r="F23" s="110"/>
      <c r="G23" s="10"/>
      <c r="H23" s="8"/>
      <c r="J23" s="10"/>
    </row>
    <row r="24" spans="1:12" ht="18.95" customHeight="1">
      <c r="A24" s="8"/>
      <c r="B24" s="20"/>
      <c r="C24" s="111"/>
      <c r="D24" s="109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39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40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37</v>
      </c>
      <c r="C28" s="111"/>
      <c r="D28" s="109"/>
      <c r="E28" s="9"/>
      <c r="F28" s="110"/>
      <c r="G28" s="22">
        <f>SUM(F13)</f>
        <v>9351.7799999999988</v>
      </c>
      <c r="H28" s="8"/>
      <c r="I28" s="23"/>
      <c r="J28" s="10"/>
      <c r="K28" s="24"/>
    </row>
    <row r="29" spans="1:12">
      <c r="A29" s="8"/>
      <c r="B29" s="14" t="s">
        <v>174</v>
      </c>
      <c r="C29" s="111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417</v>
      </c>
      <c r="C33" s="29"/>
      <c r="D33" s="29"/>
      <c r="E33" s="497">
        <f>E4</f>
        <v>239631</v>
      </c>
      <c r="F33" s="497"/>
      <c r="G33" s="31"/>
      <c r="H33" s="28"/>
      <c r="I33" s="12">
        <f>I4-I14</f>
        <v>10629362.76</v>
      </c>
      <c r="J33" s="30"/>
      <c r="L33" s="24"/>
    </row>
    <row r="34" spans="1:12" ht="32.25" customHeight="1">
      <c r="A34" s="3"/>
      <c r="B34" s="5" t="s">
        <v>42</v>
      </c>
      <c r="C34" s="5"/>
      <c r="D34" s="5"/>
      <c r="E34" s="7"/>
      <c r="F34" s="3" t="s">
        <v>43</v>
      </c>
      <c r="G34" s="5"/>
      <c r="H34" s="5"/>
      <c r="I34" s="5"/>
      <c r="J34" s="7"/>
    </row>
    <row r="35" spans="1:12">
      <c r="A35" s="8"/>
      <c r="B35" s="482" t="s">
        <v>190</v>
      </c>
      <c r="C35" s="482"/>
      <c r="D35" s="482"/>
      <c r="E35" s="10"/>
      <c r="F35" s="483" t="s">
        <v>192</v>
      </c>
      <c r="G35" s="482"/>
      <c r="H35" s="482"/>
      <c r="I35" s="482"/>
      <c r="J35" s="10"/>
    </row>
    <row r="36" spans="1:12">
      <c r="A36" s="8"/>
      <c r="B36" s="482" t="s">
        <v>191</v>
      </c>
      <c r="C36" s="482"/>
      <c r="D36" s="482"/>
      <c r="E36" s="10"/>
      <c r="F36" s="483" t="s">
        <v>60</v>
      </c>
      <c r="G36" s="482"/>
      <c r="H36" s="482"/>
      <c r="I36" s="482"/>
      <c r="J36" s="10"/>
      <c r="L36" s="24"/>
    </row>
    <row r="37" spans="1:12">
      <c r="A37" s="28"/>
      <c r="B37" s="491" t="s">
        <v>194</v>
      </c>
      <c r="C37" s="491"/>
      <c r="D37" s="491"/>
      <c r="E37" s="31"/>
      <c r="F37" s="490" t="s">
        <v>193</v>
      </c>
      <c r="G37" s="491"/>
      <c r="H37" s="491"/>
      <c r="I37" s="491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84" t="s">
        <v>24</v>
      </c>
      <c r="B58" s="485"/>
      <c r="C58" s="485"/>
      <c r="D58" s="485"/>
      <c r="E58" s="485"/>
      <c r="F58" s="485"/>
      <c r="G58" s="486"/>
      <c r="H58" s="484" t="s">
        <v>25</v>
      </c>
      <c r="I58" s="485"/>
      <c r="J58" s="486"/>
      <c r="K58" s="1"/>
    </row>
    <row r="59" spans="1:11" ht="21.75" customHeight="1">
      <c r="A59" s="487" t="s">
        <v>26</v>
      </c>
      <c r="B59" s="488"/>
      <c r="C59" s="488"/>
      <c r="D59" s="488"/>
      <c r="E59" s="488"/>
      <c r="F59" s="488"/>
      <c r="G59" s="489"/>
      <c r="H59" s="490" t="s">
        <v>90</v>
      </c>
      <c r="I59" s="491"/>
      <c r="J59" s="492"/>
    </row>
    <row r="60" spans="1:11" ht="14.25" customHeight="1">
      <c r="A60" s="3"/>
      <c r="B60" s="4"/>
      <c r="C60" s="5"/>
      <c r="D60" s="6"/>
      <c r="E60" s="5"/>
      <c r="F60" s="5"/>
      <c r="G60" s="7"/>
      <c r="H60" s="493" t="s">
        <v>28</v>
      </c>
      <c r="I60" s="494"/>
      <c r="J60" s="495"/>
    </row>
    <row r="61" spans="1:11" ht="18.75" customHeight="1">
      <c r="A61" s="8"/>
      <c r="B61" s="9" t="s">
        <v>88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29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30</v>
      </c>
      <c r="C63" s="16"/>
      <c r="D63" s="15" t="s">
        <v>31</v>
      </c>
      <c r="E63" s="16"/>
      <c r="F63" s="17" t="s">
        <v>32</v>
      </c>
      <c r="G63" s="10"/>
      <c r="H63" s="8"/>
      <c r="I63" s="9"/>
      <c r="J63" s="10"/>
    </row>
    <row r="64" spans="1:11" ht="16.5" customHeight="1">
      <c r="A64" s="8"/>
      <c r="B64" s="18" t="s">
        <v>33</v>
      </c>
      <c r="C64" s="9"/>
      <c r="D64" s="18" t="s">
        <v>33</v>
      </c>
      <c r="E64" s="9"/>
      <c r="F64" s="18" t="s">
        <v>34</v>
      </c>
      <c r="G64" s="10"/>
      <c r="H64" s="8"/>
      <c r="I64" s="9" t="s">
        <v>35</v>
      </c>
      <c r="J64" s="10"/>
    </row>
    <row r="65" spans="1:11" ht="16.5" customHeight="1">
      <c r="A65" s="8"/>
      <c r="B65" s="18" t="s">
        <v>33</v>
      </c>
      <c r="C65" s="9"/>
      <c r="D65" s="18" t="s">
        <v>33</v>
      </c>
      <c r="E65" s="9"/>
      <c r="F65" s="18" t="s">
        <v>34</v>
      </c>
      <c r="G65" s="10"/>
      <c r="H65" s="8"/>
      <c r="I65" s="9" t="s">
        <v>35</v>
      </c>
      <c r="J65" s="10"/>
    </row>
    <row r="66" spans="1:11">
      <c r="A66" s="8"/>
      <c r="B66" s="14" t="s">
        <v>36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37</v>
      </c>
      <c r="C67" s="9"/>
      <c r="D67" s="111" t="s">
        <v>38</v>
      </c>
      <c r="E67" s="9"/>
      <c r="F67" s="19" t="s">
        <v>32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39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40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41</v>
      </c>
      <c r="C89" s="9"/>
      <c r="D89" s="18" t="s">
        <v>33</v>
      </c>
      <c r="E89" s="9"/>
      <c r="F89" s="18" t="s">
        <v>34</v>
      </c>
      <c r="G89" s="10"/>
      <c r="H89" s="8"/>
      <c r="I89" s="9" t="s">
        <v>35</v>
      </c>
      <c r="J89" s="10"/>
    </row>
    <row r="90" spans="1:12" ht="16.5" customHeight="1">
      <c r="A90" s="8"/>
      <c r="B90" s="18" t="s">
        <v>33</v>
      </c>
      <c r="C90" s="9"/>
      <c r="D90" s="18" t="s">
        <v>33</v>
      </c>
      <c r="E90" s="9"/>
      <c r="F90" s="18" t="s">
        <v>34</v>
      </c>
      <c r="G90" s="10"/>
      <c r="H90" s="8"/>
      <c r="I90" s="9" t="s">
        <v>35</v>
      </c>
      <c r="J90" s="10"/>
    </row>
    <row r="91" spans="1:12" ht="21.75" customHeight="1">
      <c r="A91" s="28"/>
      <c r="B91" s="29" t="s">
        <v>89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42</v>
      </c>
      <c r="C92" s="9"/>
      <c r="D92" s="9"/>
      <c r="E92" s="9"/>
      <c r="F92" s="3" t="s">
        <v>43</v>
      </c>
      <c r="G92" s="5"/>
      <c r="H92" s="5"/>
      <c r="I92" s="5"/>
      <c r="J92" s="7"/>
    </row>
    <row r="93" spans="1:12">
      <c r="A93" s="8"/>
      <c r="B93" s="9" t="s">
        <v>44</v>
      </c>
      <c r="C93" s="9"/>
      <c r="D93" s="9" t="s">
        <v>45</v>
      </c>
      <c r="E93" s="9"/>
      <c r="F93" s="8" t="s">
        <v>85</v>
      </c>
      <c r="G93" s="9"/>
      <c r="I93" s="9" t="s">
        <v>86</v>
      </c>
      <c r="J93" s="10"/>
    </row>
    <row r="94" spans="1:12" ht="27" customHeight="1">
      <c r="A94" s="28"/>
      <c r="B94" s="29" t="s">
        <v>46</v>
      </c>
      <c r="C94" s="29"/>
      <c r="D94" s="29"/>
      <c r="E94" s="29"/>
      <c r="F94" s="28" t="s">
        <v>47</v>
      </c>
      <c r="G94" s="29"/>
      <c r="H94" s="29"/>
      <c r="I94" s="29"/>
      <c r="J94" s="31"/>
    </row>
    <row r="95" spans="1:12" ht="21.75" customHeight="1">
      <c r="A95" s="484" t="s">
        <v>24</v>
      </c>
      <c r="B95" s="485"/>
      <c r="C95" s="485"/>
      <c r="D95" s="485"/>
      <c r="E95" s="485"/>
      <c r="F95" s="485"/>
      <c r="G95" s="486"/>
      <c r="H95" s="484" t="s">
        <v>25</v>
      </c>
      <c r="I95" s="485"/>
      <c r="J95" s="486"/>
      <c r="K95" s="1"/>
    </row>
    <row r="96" spans="1:12" ht="21.75" customHeight="1">
      <c r="A96" s="487" t="s">
        <v>26</v>
      </c>
      <c r="B96" s="488"/>
      <c r="C96" s="488"/>
      <c r="D96" s="488"/>
      <c r="E96" s="488"/>
      <c r="F96" s="488"/>
      <c r="G96" s="489"/>
      <c r="H96" s="490" t="s">
        <v>27</v>
      </c>
      <c r="I96" s="491"/>
      <c r="J96" s="492"/>
    </row>
    <row r="97" spans="1:11" ht="14.25" customHeight="1">
      <c r="A97" s="3"/>
      <c r="B97" s="4"/>
      <c r="C97" s="5"/>
      <c r="D97" s="6"/>
      <c r="E97" s="5"/>
      <c r="F97" s="5"/>
      <c r="G97" s="7"/>
      <c r="H97" s="493" t="s">
        <v>28</v>
      </c>
      <c r="I97" s="494"/>
      <c r="J97" s="495"/>
    </row>
    <row r="98" spans="1:11" ht="18.75" customHeight="1">
      <c r="A98" s="8"/>
      <c r="B98" s="9" t="s">
        <v>92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29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30</v>
      </c>
      <c r="C100" s="16"/>
      <c r="D100" s="15" t="s">
        <v>31</v>
      </c>
      <c r="E100" s="16"/>
      <c r="F100" s="17" t="s">
        <v>32</v>
      </c>
      <c r="G100" s="10"/>
      <c r="H100" s="8"/>
      <c r="I100" s="9"/>
      <c r="J100" s="10"/>
    </row>
    <row r="101" spans="1:11" ht="16.5" customHeight="1">
      <c r="A101" s="8"/>
      <c r="B101" s="18" t="s">
        <v>33</v>
      </c>
      <c r="C101" s="9"/>
      <c r="D101" s="18" t="s">
        <v>33</v>
      </c>
      <c r="E101" s="9"/>
      <c r="F101" s="18" t="s">
        <v>34</v>
      </c>
      <c r="G101" s="10"/>
      <c r="H101" s="8"/>
      <c r="I101" s="9" t="s">
        <v>35</v>
      </c>
      <c r="J101" s="10"/>
    </row>
    <row r="102" spans="1:11" ht="16.5" customHeight="1">
      <c r="A102" s="8"/>
      <c r="B102" s="18" t="s">
        <v>33</v>
      </c>
      <c r="C102" s="9"/>
      <c r="D102" s="18" t="s">
        <v>33</v>
      </c>
      <c r="E102" s="9"/>
      <c r="F102" s="18" t="s">
        <v>34</v>
      </c>
      <c r="G102" s="10"/>
      <c r="H102" s="8"/>
      <c r="I102" s="9" t="s">
        <v>35</v>
      </c>
      <c r="J102" s="10"/>
    </row>
    <row r="103" spans="1:11">
      <c r="A103" s="8"/>
      <c r="B103" s="14" t="s">
        <v>36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37</v>
      </c>
      <c r="C104" s="9"/>
      <c r="D104" s="111" t="s">
        <v>38</v>
      </c>
      <c r="E104" s="9"/>
      <c r="F104" s="19" t="s">
        <v>32</v>
      </c>
      <c r="G104" s="10"/>
      <c r="H104" s="8"/>
      <c r="I104" s="9"/>
      <c r="J104" s="10"/>
    </row>
    <row r="105" spans="1:11" ht="18.95" customHeight="1">
      <c r="A105" s="8"/>
      <c r="B105" s="20" t="s">
        <v>87</v>
      </c>
      <c r="C105" s="9"/>
      <c r="D105" s="111" t="s">
        <v>91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93</v>
      </c>
      <c r="C106" s="9"/>
      <c r="D106" s="111" t="s">
        <v>97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93</v>
      </c>
      <c r="C107" s="9"/>
      <c r="D107" s="111" t="s">
        <v>98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111" t="s">
        <v>98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D109" s="111" t="s">
        <v>98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94</v>
      </c>
      <c r="C110" s="9"/>
      <c r="D110" s="111" t="s">
        <v>99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111" t="s">
        <v>100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111" t="s">
        <v>101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94</v>
      </c>
      <c r="C113" s="9"/>
      <c r="D113" s="111" t="s">
        <v>102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95</v>
      </c>
      <c r="C114" s="9"/>
      <c r="D114" s="111" t="s">
        <v>103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95</v>
      </c>
      <c r="C115" s="9"/>
      <c r="D115" s="111" t="s">
        <v>105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95</v>
      </c>
      <c r="C116" s="9"/>
      <c r="D116" s="111" t="s">
        <v>105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95</v>
      </c>
      <c r="C117" s="9"/>
      <c r="D117" s="111" t="s">
        <v>106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95</v>
      </c>
      <c r="C118" s="9"/>
      <c r="D118" s="111" t="s">
        <v>107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95</v>
      </c>
      <c r="C119" s="9"/>
      <c r="D119" s="111" t="s">
        <v>108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95</v>
      </c>
      <c r="C120" s="9"/>
      <c r="D120" s="111" t="s">
        <v>109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95</v>
      </c>
      <c r="C121" s="9"/>
      <c r="D121" s="111" t="s">
        <v>110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95</v>
      </c>
      <c r="C122" s="9"/>
      <c r="D122" s="111" t="s">
        <v>111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96</v>
      </c>
      <c r="C123" s="9"/>
      <c r="D123" s="111" t="s">
        <v>112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39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40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37</v>
      </c>
      <c r="C127" s="9"/>
      <c r="D127" s="111" t="s">
        <v>38</v>
      </c>
      <c r="E127" s="9"/>
      <c r="F127" s="19" t="s">
        <v>32</v>
      </c>
      <c r="G127" s="10"/>
      <c r="H127" s="8"/>
      <c r="I127" s="9"/>
      <c r="J127" s="10"/>
    </row>
    <row r="128" spans="1:12" ht="16.5" customHeight="1">
      <c r="A128" s="8"/>
      <c r="B128" s="20" t="s">
        <v>94</v>
      </c>
      <c r="C128" s="9"/>
      <c r="D128" s="111" t="s">
        <v>104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113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42</v>
      </c>
      <c r="C130" s="5"/>
      <c r="D130" s="5"/>
      <c r="E130" s="5"/>
      <c r="F130" s="3" t="s">
        <v>43</v>
      </c>
      <c r="G130" s="5"/>
      <c r="H130" s="5"/>
      <c r="I130" s="5"/>
      <c r="J130" s="7"/>
    </row>
    <row r="131" spans="1:11">
      <c r="A131" s="8"/>
      <c r="B131" s="9" t="s">
        <v>44</v>
      </c>
      <c r="C131" s="9"/>
      <c r="D131" s="9" t="s">
        <v>45</v>
      </c>
      <c r="E131" s="10"/>
      <c r="F131" s="8" t="s">
        <v>85</v>
      </c>
      <c r="G131" s="9"/>
      <c r="H131" s="9"/>
      <c r="I131" s="9" t="s">
        <v>86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84" t="s">
        <v>24</v>
      </c>
      <c r="B133" s="485"/>
      <c r="C133" s="485"/>
      <c r="D133" s="485"/>
      <c r="E133" s="485"/>
      <c r="F133" s="485"/>
      <c r="G133" s="486"/>
      <c r="H133" s="484" t="s">
        <v>25</v>
      </c>
      <c r="I133" s="485"/>
      <c r="J133" s="486"/>
      <c r="K133" s="1"/>
    </row>
    <row r="134" spans="1:11" ht="21.75" customHeight="1">
      <c r="A134" s="487" t="s">
        <v>26</v>
      </c>
      <c r="B134" s="488"/>
      <c r="C134" s="488"/>
      <c r="D134" s="488"/>
      <c r="E134" s="488"/>
      <c r="F134" s="488"/>
      <c r="G134" s="489"/>
      <c r="H134" s="490" t="s">
        <v>90</v>
      </c>
      <c r="I134" s="491"/>
      <c r="J134" s="492"/>
    </row>
    <row r="135" spans="1:11" ht="14.25" customHeight="1">
      <c r="A135" s="3"/>
      <c r="B135" s="4"/>
      <c r="C135" s="5"/>
      <c r="D135" s="6"/>
      <c r="E135" s="5"/>
      <c r="F135" s="5"/>
      <c r="G135" s="7"/>
      <c r="H135" s="493" t="s">
        <v>28</v>
      </c>
      <c r="I135" s="494"/>
      <c r="J135" s="495"/>
    </row>
    <row r="136" spans="1:11" ht="18.75" customHeight="1">
      <c r="A136" s="8"/>
      <c r="B136" s="9" t="s">
        <v>88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29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30</v>
      </c>
      <c r="C138" s="16"/>
      <c r="D138" s="15" t="s">
        <v>31</v>
      </c>
      <c r="E138" s="16"/>
      <c r="F138" s="17" t="s">
        <v>32</v>
      </c>
      <c r="G138" s="10"/>
      <c r="H138" s="8"/>
      <c r="I138" s="9"/>
      <c r="J138" s="10"/>
    </row>
    <row r="139" spans="1:11" ht="16.5" customHeight="1">
      <c r="A139" s="8"/>
      <c r="B139" s="18" t="s">
        <v>33</v>
      </c>
      <c r="C139" s="9"/>
      <c r="D139" s="18" t="s">
        <v>33</v>
      </c>
      <c r="E139" s="9"/>
      <c r="F139" s="18" t="s">
        <v>34</v>
      </c>
      <c r="G139" s="10"/>
      <c r="H139" s="8"/>
      <c r="I139" s="9" t="s">
        <v>35</v>
      </c>
      <c r="J139" s="10"/>
    </row>
    <row r="140" spans="1:11" ht="16.5" customHeight="1">
      <c r="A140" s="8"/>
      <c r="B140" s="18" t="s">
        <v>33</v>
      </c>
      <c r="C140" s="9"/>
      <c r="D140" s="18" t="s">
        <v>33</v>
      </c>
      <c r="E140" s="9"/>
      <c r="F140" s="18" t="s">
        <v>34</v>
      </c>
      <c r="G140" s="10"/>
      <c r="H140" s="8"/>
      <c r="I140" s="9" t="s">
        <v>35</v>
      </c>
      <c r="J140" s="10"/>
    </row>
    <row r="141" spans="1:11">
      <c r="A141" s="8"/>
      <c r="B141" s="14" t="s">
        <v>36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37</v>
      </c>
      <c r="C142" s="9"/>
      <c r="D142" s="111" t="s">
        <v>38</v>
      </c>
      <c r="E142" s="9"/>
      <c r="F142" s="19" t="s">
        <v>32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39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40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41</v>
      </c>
      <c r="C164" s="9"/>
      <c r="D164" s="18" t="s">
        <v>33</v>
      </c>
      <c r="E164" s="9"/>
      <c r="F164" s="18" t="s">
        <v>34</v>
      </c>
      <c r="G164" s="10"/>
      <c r="H164" s="8"/>
      <c r="I164" s="9" t="s">
        <v>35</v>
      </c>
      <c r="J164" s="10"/>
    </row>
    <row r="165" spans="1:12" ht="16.5" customHeight="1">
      <c r="A165" s="8"/>
      <c r="B165" s="18" t="s">
        <v>33</v>
      </c>
      <c r="C165" s="9"/>
      <c r="D165" s="18" t="s">
        <v>33</v>
      </c>
      <c r="E165" s="9"/>
      <c r="F165" s="18" t="s">
        <v>34</v>
      </c>
      <c r="G165" s="10"/>
      <c r="H165" s="8"/>
      <c r="I165" s="9" t="s">
        <v>35</v>
      </c>
      <c r="J165" s="10"/>
    </row>
    <row r="166" spans="1:12" ht="21.75" customHeight="1">
      <c r="A166" s="28"/>
      <c r="B166" s="29" t="s">
        <v>89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42</v>
      </c>
      <c r="C167" s="9"/>
      <c r="D167" s="9"/>
      <c r="E167" s="9"/>
      <c r="F167" s="3" t="s">
        <v>43</v>
      </c>
      <c r="G167" s="5"/>
      <c r="H167" s="5"/>
      <c r="I167" s="5"/>
      <c r="J167" s="7"/>
    </row>
    <row r="168" spans="1:12">
      <c r="A168" s="8"/>
      <c r="B168" s="9" t="s">
        <v>44</v>
      </c>
      <c r="C168" s="9"/>
      <c r="D168" s="9" t="s">
        <v>45</v>
      </c>
      <c r="E168" s="9"/>
      <c r="F168" s="8" t="s">
        <v>85</v>
      </c>
      <c r="G168" s="9"/>
      <c r="I168" s="9" t="s">
        <v>86</v>
      </c>
      <c r="J168" s="10"/>
    </row>
    <row r="169" spans="1:12" ht="27" customHeight="1">
      <c r="A169" s="28"/>
      <c r="B169" s="29" t="s">
        <v>46</v>
      </c>
      <c r="C169" s="29"/>
      <c r="D169" s="29"/>
      <c r="E169" s="29"/>
      <c r="F169" s="28" t="s">
        <v>47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7"/>
  <sheetViews>
    <sheetView view="pageBreakPreview" zoomScale="90" zoomScaleNormal="100" zoomScaleSheetLayoutView="90"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G53" sqref="G53"/>
    </sheetView>
  </sheetViews>
  <sheetFormatPr defaultRowHeight="20.25" customHeight="1"/>
  <cols>
    <col min="1" max="1" width="13" style="159" customWidth="1"/>
    <col min="2" max="2" width="12.42578125" style="127" customWidth="1"/>
    <col min="3" max="3" width="10.5703125" style="127" bestFit="1" customWidth="1"/>
    <col min="4" max="4" width="9.5703125" style="127" bestFit="1" customWidth="1"/>
    <col min="5" max="5" width="7.140625" style="127" customWidth="1"/>
    <col min="6" max="7" width="10.5703125" style="127" bestFit="1" customWidth="1"/>
    <col min="8" max="9" width="6.85546875" style="127" bestFit="1" customWidth="1"/>
    <col min="10" max="10" width="5.7109375" style="127" customWidth="1"/>
    <col min="11" max="11" width="6.85546875" style="127" bestFit="1" customWidth="1"/>
    <col min="12" max="12" width="6.140625" style="127" bestFit="1" customWidth="1"/>
    <col min="13" max="13" width="12" style="127" customWidth="1"/>
    <col min="14" max="14" width="8.7109375" style="127" bestFit="1" customWidth="1"/>
    <col min="15" max="15" width="5.42578125" style="127" customWidth="1"/>
    <col min="16" max="16" width="6.140625" style="127" bestFit="1" customWidth="1"/>
    <col min="17" max="17" width="6.85546875" style="127" bestFit="1" customWidth="1"/>
    <col min="18" max="18" width="9.7109375" style="127" bestFit="1" customWidth="1"/>
    <col min="19" max="19" width="6.85546875" style="127" bestFit="1" customWidth="1"/>
    <col min="20" max="20" width="9.7109375" style="127" bestFit="1" customWidth="1"/>
    <col min="21" max="21" width="7.28515625" style="127" bestFit="1" customWidth="1"/>
    <col min="22" max="23" width="6.85546875" style="127" bestFit="1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498" t="s">
        <v>213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</row>
    <row r="2" spans="1:26" ht="20.25" customHeight="1">
      <c r="A2" s="498" t="s">
        <v>214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</row>
    <row r="3" spans="1:26" ht="20.25" customHeight="1" thickBot="1">
      <c r="A3" s="499" t="s">
        <v>407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</row>
    <row r="4" spans="1:26" ht="20.25" customHeight="1">
      <c r="A4" s="356" t="s">
        <v>215</v>
      </c>
      <c r="B4" s="500" t="s">
        <v>216</v>
      </c>
      <c r="C4" s="500"/>
      <c r="D4" s="500" t="s">
        <v>217</v>
      </c>
      <c r="E4" s="500"/>
      <c r="F4" s="500" t="s">
        <v>218</v>
      </c>
      <c r="G4" s="500"/>
      <c r="H4" s="500"/>
      <c r="I4" s="500" t="s">
        <v>219</v>
      </c>
      <c r="J4" s="500"/>
      <c r="K4" s="500" t="s">
        <v>220</v>
      </c>
      <c r="L4" s="500"/>
      <c r="M4" s="501" t="s">
        <v>221</v>
      </c>
      <c r="N4" s="502"/>
      <c r="O4" s="503"/>
      <c r="P4" s="500" t="s">
        <v>222</v>
      </c>
      <c r="Q4" s="500"/>
      <c r="R4" s="500" t="s">
        <v>223</v>
      </c>
      <c r="S4" s="500"/>
      <c r="T4" s="500"/>
      <c r="U4" s="129" t="s">
        <v>224</v>
      </c>
      <c r="V4" s="500" t="s">
        <v>225</v>
      </c>
      <c r="W4" s="500"/>
      <c r="X4" s="129" t="s">
        <v>226</v>
      </c>
      <c r="Y4" s="129" t="s">
        <v>227</v>
      </c>
      <c r="Z4" s="504" t="s">
        <v>56</v>
      </c>
    </row>
    <row r="5" spans="1:26" ht="20.25" customHeight="1" thickBot="1">
      <c r="A5" s="357" t="s">
        <v>228</v>
      </c>
      <c r="B5" s="131" t="s">
        <v>229</v>
      </c>
      <c r="C5" s="131" t="s">
        <v>230</v>
      </c>
      <c r="D5" s="131" t="s">
        <v>231</v>
      </c>
      <c r="E5" s="131" t="s">
        <v>232</v>
      </c>
      <c r="F5" s="131" t="s">
        <v>233</v>
      </c>
      <c r="G5" s="131" t="s">
        <v>234</v>
      </c>
      <c r="H5" s="131" t="s">
        <v>235</v>
      </c>
      <c r="I5" s="131" t="s">
        <v>236</v>
      </c>
      <c r="J5" s="131" t="s">
        <v>237</v>
      </c>
      <c r="K5" s="131" t="s">
        <v>238</v>
      </c>
      <c r="L5" s="131" t="s">
        <v>239</v>
      </c>
      <c r="M5" s="132" t="s">
        <v>240</v>
      </c>
      <c r="N5" s="131" t="s">
        <v>241</v>
      </c>
      <c r="O5" s="131" t="s">
        <v>242</v>
      </c>
      <c r="P5" s="131" t="s">
        <v>243</v>
      </c>
      <c r="Q5" s="131" t="s">
        <v>244</v>
      </c>
      <c r="R5" s="131" t="s">
        <v>245</v>
      </c>
      <c r="S5" s="131" t="s">
        <v>246</v>
      </c>
      <c r="T5" s="131" t="s">
        <v>247</v>
      </c>
      <c r="U5" s="131" t="s">
        <v>248</v>
      </c>
      <c r="V5" s="131" t="s">
        <v>249</v>
      </c>
      <c r="W5" s="131" t="s">
        <v>250</v>
      </c>
      <c r="X5" s="131" t="s">
        <v>251</v>
      </c>
      <c r="Y5" s="131" t="s">
        <v>252</v>
      </c>
      <c r="Z5" s="505"/>
    </row>
    <row r="6" spans="1:26" ht="20.25" customHeight="1">
      <c r="A6" s="358" t="s">
        <v>57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235946</v>
      </c>
      <c r="Z6" s="135">
        <f>SUM(B6:Y6)</f>
        <v>235946</v>
      </c>
    </row>
    <row r="7" spans="1:26" ht="20.25" customHeight="1">
      <c r="A7" s="359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3" t="s">
        <v>311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4728</v>
      </c>
      <c r="Z8" s="135">
        <f>SUM(B8:Y8)</f>
        <v>4728</v>
      </c>
    </row>
    <row r="9" spans="1:26" ht="20.25" customHeight="1">
      <c r="A9" s="343" t="s">
        <v>312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3" t="s">
        <v>313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3" t="s">
        <v>314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3" t="s">
        <v>396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f>870+6760</f>
        <v>7630</v>
      </c>
      <c r="Z12" s="135">
        <f t="shared" si="0"/>
        <v>7630</v>
      </c>
    </row>
    <row r="13" spans="1:26" ht="20.25" customHeight="1">
      <c r="A13" s="343" t="s">
        <v>315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0</v>
      </c>
      <c r="Z13" s="135">
        <f t="shared" si="0"/>
        <v>0</v>
      </c>
    </row>
    <row r="14" spans="1:26" ht="20.25" customHeight="1">
      <c r="A14" s="343" t="s">
        <v>316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6" t="s">
        <v>253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17358</v>
      </c>
      <c r="Z17" s="142">
        <f t="shared" si="0"/>
        <v>17358</v>
      </c>
      <c r="AA17" s="143"/>
    </row>
    <row r="18" spans="1:27" ht="20.25" customHeight="1" thickBot="1">
      <c r="A18" s="357" t="s">
        <v>254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253304</v>
      </c>
      <c r="Z18" s="139">
        <f t="shared" si="2"/>
        <v>253304</v>
      </c>
    </row>
    <row r="19" spans="1:27" ht="20.25" customHeight="1">
      <c r="A19" s="360" t="s">
        <v>57</v>
      </c>
      <c r="B19" s="133">
        <f>370716.11-9987.1</f>
        <v>360729.01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360729.01</v>
      </c>
    </row>
    <row r="20" spans="1:27" ht="20.25" customHeight="1">
      <c r="A20" s="359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3" t="s">
        <v>318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3" t="s">
        <v>319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3" t="s">
        <v>196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3" t="s">
        <v>173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4" t="s">
        <v>199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6" t="s">
        <v>253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7" t="s">
        <v>254</v>
      </c>
      <c r="B27" s="139">
        <f t="shared" ref="B27:Z27" si="6">B19+B26</f>
        <v>531789.01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531789.01</v>
      </c>
    </row>
    <row r="28" spans="1:27" ht="20.25" customHeight="1">
      <c r="A28" s="360" t="s">
        <v>57</v>
      </c>
      <c r="B28" s="136">
        <v>462060</v>
      </c>
      <c r="C28" s="136">
        <v>229330</v>
      </c>
      <c r="D28" s="133"/>
      <c r="E28" s="133"/>
      <c r="F28" s="133">
        <v>0</v>
      </c>
      <c r="G28" s="133"/>
      <c r="H28" s="133"/>
      <c r="I28" s="133"/>
      <c r="J28" s="133"/>
      <c r="K28" s="133"/>
      <c r="L28" s="133"/>
      <c r="M28" s="136">
        <v>149085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840475</v>
      </c>
    </row>
    <row r="29" spans="1:27" ht="20.25" customHeight="1">
      <c r="A29" s="359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3" t="s">
        <v>320</v>
      </c>
      <c r="B30" s="138">
        <f>90056+38420</f>
        <v>128476</v>
      </c>
      <c r="C30" s="138">
        <f>34030+19410</f>
        <v>53440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30110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212026</v>
      </c>
    </row>
    <row r="31" spans="1:27" ht="20.25" customHeight="1">
      <c r="A31" s="343" t="s">
        <v>321</v>
      </c>
      <c r="B31" s="136">
        <v>12464</v>
      </c>
      <c r="C31" s="136">
        <v>3940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1585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17989</v>
      </c>
    </row>
    <row r="32" spans="1:27" ht="20.25" customHeight="1">
      <c r="A32" s="343" t="s">
        <v>322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3" t="s">
        <v>323</v>
      </c>
      <c r="B33" s="138">
        <v>8610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8610</v>
      </c>
    </row>
    <row r="34" spans="1:26" ht="20.25" customHeight="1">
      <c r="A34" s="343" t="s">
        <v>324</v>
      </c>
      <c r="B34" s="138">
        <v>8039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8039</v>
      </c>
    </row>
    <row r="35" spans="1:26" ht="20.25" customHeight="1">
      <c r="A35" s="343" t="s">
        <v>325</v>
      </c>
      <c r="B35" s="136">
        <f>5340+580</f>
        <v>5920</v>
      </c>
      <c r="C35" s="136">
        <v>7480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>
        <v>12810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26210</v>
      </c>
    </row>
    <row r="36" spans="1:26" ht="20.25" customHeight="1">
      <c r="A36" s="345" t="s">
        <v>326</v>
      </c>
      <c r="B36" s="136">
        <v>3660</v>
      </c>
      <c r="C36" s="136">
        <v>1520</v>
      </c>
      <c r="D36" s="136"/>
      <c r="E36" s="136"/>
      <c r="F36" s="136">
        <v>0</v>
      </c>
      <c r="G36" s="136"/>
      <c r="H36" s="136"/>
      <c r="I36" s="136"/>
      <c r="J36" s="136"/>
      <c r="K36" s="136"/>
      <c r="L36" s="136"/>
      <c r="M36" s="136">
        <v>5190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10370</v>
      </c>
    </row>
    <row r="37" spans="1:26" ht="20.25" customHeight="1">
      <c r="A37" s="361" t="s">
        <v>253</v>
      </c>
      <c r="B37" s="133">
        <f t="shared" ref="B37:Y37" si="8">SUM(B30:B36)</f>
        <v>170669</v>
      </c>
      <c r="C37" s="133">
        <f t="shared" si="8"/>
        <v>66380</v>
      </c>
      <c r="D37" s="133">
        <f t="shared" si="8"/>
        <v>0</v>
      </c>
      <c r="E37" s="133">
        <f t="shared" si="8"/>
        <v>0</v>
      </c>
      <c r="F37" s="133">
        <f t="shared" si="8"/>
        <v>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49695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286744</v>
      </c>
    </row>
    <row r="38" spans="1:26" ht="20.25" customHeight="1" thickBot="1">
      <c r="A38" s="357" t="s">
        <v>254</v>
      </c>
      <c r="B38" s="139">
        <f t="shared" ref="B38:Z38" si="9">B28+B37</f>
        <v>632729</v>
      </c>
      <c r="C38" s="139">
        <f t="shared" si="9"/>
        <v>295710</v>
      </c>
      <c r="D38" s="139">
        <f t="shared" si="9"/>
        <v>0</v>
      </c>
      <c r="E38" s="139">
        <f t="shared" si="9"/>
        <v>0</v>
      </c>
      <c r="F38" s="139">
        <f t="shared" si="9"/>
        <v>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198780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1127219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 thickBo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>
      <c r="A43" s="509" t="s">
        <v>213</v>
      </c>
      <c r="B43" s="510"/>
      <c r="C43" s="510"/>
      <c r="D43" s="510"/>
      <c r="E43" s="510"/>
      <c r="F43" s="510"/>
      <c r="G43" s="510"/>
      <c r="H43" s="510"/>
      <c r="I43" s="510"/>
      <c r="J43" s="510"/>
      <c r="K43" s="510"/>
      <c r="L43" s="510"/>
      <c r="M43" s="510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0"/>
    </row>
    <row r="44" spans="1:26" ht="20.25" customHeight="1">
      <c r="A44" s="511" t="s">
        <v>214</v>
      </c>
      <c r="B44" s="512"/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2"/>
      <c r="X44" s="512"/>
      <c r="Y44" s="512"/>
      <c r="Z44" s="512"/>
    </row>
    <row r="45" spans="1:26" ht="20.25" customHeight="1" thickBot="1">
      <c r="A45" s="508" t="str">
        <f>A3</f>
        <v>วันที่  31  มกราคม  2556</v>
      </c>
      <c r="B45" s="499"/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  <c r="Z45" s="499"/>
    </row>
    <row r="46" spans="1:26" ht="20.25" customHeight="1">
      <c r="A46" s="356" t="s">
        <v>215</v>
      </c>
      <c r="B46" s="500" t="s">
        <v>216</v>
      </c>
      <c r="C46" s="500"/>
      <c r="D46" s="500" t="s">
        <v>217</v>
      </c>
      <c r="E46" s="500"/>
      <c r="F46" s="500" t="s">
        <v>218</v>
      </c>
      <c r="G46" s="500"/>
      <c r="H46" s="500"/>
      <c r="I46" s="500" t="s">
        <v>219</v>
      </c>
      <c r="J46" s="500"/>
      <c r="K46" s="500" t="s">
        <v>220</v>
      </c>
      <c r="L46" s="500"/>
      <c r="M46" s="501" t="s">
        <v>221</v>
      </c>
      <c r="N46" s="502"/>
      <c r="O46" s="503"/>
      <c r="P46" s="500" t="s">
        <v>222</v>
      </c>
      <c r="Q46" s="500"/>
      <c r="R46" s="500" t="s">
        <v>223</v>
      </c>
      <c r="S46" s="500"/>
      <c r="T46" s="500"/>
      <c r="U46" s="353" t="s">
        <v>224</v>
      </c>
      <c r="V46" s="500" t="s">
        <v>225</v>
      </c>
      <c r="W46" s="500"/>
      <c r="X46" s="353" t="s">
        <v>226</v>
      </c>
      <c r="Y46" s="353" t="s">
        <v>227</v>
      </c>
      <c r="Z46" s="504" t="s">
        <v>56</v>
      </c>
    </row>
    <row r="47" spans="1:26" ht="20.25" customHeight="1" thickBot="1">
      <c r="A47" s="357" t="s">
        <v>228</v>
      </c>
      <c r="B47" s="131" t="s">
        <v>229</v>
      </c>
      <c r="C47" s="131" t="s">
        <v>230</v>
      </c>
      <c r="D47" s="131" t="s">
        <v>231</v>
      </c>
      <c r="E47" s="131" t="s">
        <v>232</v>
      </c>
      <c r="F47" s="131" t="s">
        <v>233</v>
      </c>
      <c r="G47" s="131" t="s">
        <v>234</v>
      </c>
      <c r="H47" s="131" t="s">
        <v>235</v>
      </c>
      <c r="I47" s="131" t="s">
        <v>236</v>
      </c>
      <c r="J47" s="131" t="s">
        <v>237</v>
      </c>
      <c r="K47" s="131" t="s">
        <v>238</v>
      </c>
      <c r="L47" s="131" t="s">
        <v>239</v>
      </c>
      <c r="M47" s="132" t="s">
        <v>240</v>
      </c>
      <c r="N47" s="131" t="s">
        <v>241</v>
      </c>
      <c r="O47" s="131" t="s">
        <v>242</v>
      </c>
      <c r="P47" s="131" t="s">
        <v>243</v>
      </c>
      <c r="Q47" s="131" t="s">
        <v>244</v>
      </c>
      <c r="R47" s="131" t="s">
        <v>245</v>
      </c>
      <c r="S47" s="131" t="s">
        <v>246</v>
      </c>
      <c r="T47" s="131" t="s">
        <v>247</v>
      </c>
      <c r="U47" s="131">
        <v>311</v>
      </c>
      <c r="V47" s="131" t="s">
        <v>249</v>
      </c>
      <c r="W47" s="131" t="s">
        <v>250</v>
      </c>
      <c r="X47" s="131" t="s">
        <v>251</v>
      </c>
      <c r="Y47" s="131" t="s">
        <v>252</v>
      </c>
      <c r="Z47" s="505"/>
    </row>
    <row r="48" spans="1:26" ht="20.25" customHeight="1">
      <c r="A48" s="360" t="s">
        <v>57</v>
      </c>
      <c r="B48" s="133">
        <v>15758</v>
      </c>
      <c r="C48" s="133">
        <v>9000</v>
      </c>
      <c r="D48" s="133"/>
      <c r="E48" s="133"/>
      <c r="F48" s="133"/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/>
      <c r="N48" s="133"/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33">
        <v>0</v>
      </c>
      <c r="Z48" s="142">
        <f>SUM(B48:Y48)</f>
        <v>24758</v>
      </c>
    </row>
    <row r="49" spans="1:26" ht="20.25" customHeight="1">
      <c r="A49" s="359">
        <v>531000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5">
        <f>SUM(B49:Y49)</f>
        <v>0</v>
      </c>
    </row>
    <row r="50" spans="1:26" ht="20.25" customHeight="1">
      <c r="A50" s="346" t="s">
        <v>329</v>
      </c>
      <c r="B50" s="136"/>
      <c r="C50" s="136">
        <v>0</v>
      </c>
      <c r="D50" s="136">
        <v>0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>SUM(B50:Y50)</f>
        <v>0</v>
      </c>
    </row>
    <row r="51" spans="1:26" ht="20.25" customHeight="1">
      <c r="A51" s="346" t="s">
        <v>330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 t="shared" ref="Z51:Z56" si="10">SUM(B51:Y51)</f>
        <v>0</v>
      </c>
    </row>
    <row r="52" spans="1:26" ht="20.25" customHeight="1">
      <c r="A52" s="346" t="s">
        <v>331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si="10"/>
        <v>0</v>
      </c>
    </row>
    <row r="53" spans="1:26" ht="20.25" customHeight="1">
      <c r="A53" s="346" t="s">
        <v>332</v>
      </c>
      <c r="B53" s="136">
        <v>1600</v>
      </c>
      <c r="C53" s="136">
        <v>3000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8"/>
      <c r="Z53" s="135">
        <f t="shared" si="10"/>
        <v>4600</v>
      </c>
    </row>
    <row r="54" spans="1:26" ht="20.25" customHeight="1">
      <c r="A54" s="346" t="s">
        <v>333</v>
      </c>
      <c r="B54" s="148">
        <f>7960+6900</f>
        <v>14860</v>
      </c>
      <c r="C54" s="136">
        <f>1702+1700</f>
        <v>3402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5">
        <f t="shared" si="10"/>
        <v>18262</v>
      </c>
    </row>
    <row r="55" spans="1:26" ht="20.25" customHeight="1" thickBot="1">
      <c r="A55" s="347" t="s">
        <v>334</v>
      </c>
      <c r="B55" s="149">
        <f>976+4289+20630</f>
        <v>25895</v>
      </c>
      <c r="C55" s="136">
        <f>460</f>
        <v>460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>
        <v>4061</v>
      </c>
      <c r="N55" s="133">
        <v>0</v>
      </c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9"/>
      <c r="Z55" s="135">
        <f t="shared" si="10"/>
        <v>30416</v>
      </c>
    </row>
    <row r="56" spans="1:26" ht="20.25" customHeight="1">
      <c r="A56" s="356" t="s">
        <v>253</v>
      </c>
      <c r="B56" s="140">
        <f t="shared" ref="B56:Y56" si="11">SUM(B49:B55)</f>
        <v>42355</v>
      </c>
      <c r="C56" s="140">
        <f t="shared" si="11"/>
        <v>6862</v>
      </c>
      <c r="D56" s="140">
        <f t="shared" si="11"/>
        <v>0</v>
      </c>
      <c r="E56" s="140">
        <f t="shared" si="11"/>
        <v>0</v>
      </c>
      <c r="F56" s="140">
        <f t="shared" si="11"/>
        <v>0</v>
      </c>
      <c r="G56" s="140">
        <f t="shared" si="11"/>
        <v>0</v>
      </c>
      <c r="H56" s="140">
        <f t="shared" si="11"/>
        <v>0</v>
      </c>
      <c r="I56" s="140">
        <f t="shared" si="11"/>
        <v>0</v>
      </c>
      <c r="J56" s="140">
        <f t="shared" si="11"/>
        <v>0</v>
      </c>
      <c r="K56" s="140">
        <f t="shared" si="11"/>
        <v>0</v>
      </c>
      <c r="L56" s="140">
        <f t="shared" si="11"/>
        <v>0</v>
      </c>
      <c r="M56" s="140">
        <f t="shared" si="11"/>
        <v>4061</v>
      </c>
      <c r="N56" s="140">
        <f t="shared" si="11"/>
        <v>0</v>
      </c>
      <c r="O56" s="140">
        <f t="shared" si="11"/>
        <v>0</v>
      </c>
      <c r="P56" s="140">
        <f t="shared" si="11"/>
        <v>0</v>
      </c>
      <c r="Q56" s="140">
        <f t="shared" si="11"/>
        <v>0</v>
      </c>
      <c r="R56" s="140">
        <f t="shared" si="11"/>
        <v>0</v>
      </c>
      <c r="S56" s="140">
        <f t="shared" si="11"/>
        <v>0</v>
      </c>
      <c r="T56" s="140">
        <f t="shared" si="11"/>
        <v>0</v>
      </c>
      <c r="U56" s="140">
        <f t="shared" si="11"/>
        <v>0</v>
      </c>
      <c r="V56" s="140">
        <f t="shared" si="11"/>
        <v>0</v>
      </c>
      <c r="W56" s="140">
        <f t="shared" si="11"/>
        <v>0</v>
      </c>
      <c r="X56" s="140">
        <f t="shared" si="11"/>
        <v>0</v>
      </c>
      <c r="Y56" s="140">
        <f t="shared" si="11"/>
        <v>0</v>
      </c>
      <c r="Z56" s="142">
        <f t="shared" si="10"/>
        <v>53278</v>
      </c>
    </row>
    <row r="57" spans="1:26" ht="20.25" customHeight="1" thickBot="1">
      <c r="A57" s="357" t="s">
        <v>254</v>
      </c>
      <c r="B57" s="139">
        <f>B56+B48</f>
        <v>58113</v>
      </c>
      <c r="C57" s="139">
        <f>C48+C56</f>
        <v>15862</v>
      </c>
      <c r="D57" s="139">
        <f t="shared" ref="D57:L57" si="12">D56+D48</f>
        <v>0</v>
      </c>
      <c r="E57" s="139">
        <f t="shared" si="12"/>
        <v>0</v>
      </c>
      <c r="F57" s="139">
        <f t="shared" si="12"/>
        <v>0</v>
      </c>
      <c r="G57" s="139">
        <f t="shared" si="12"/>
        <v>0</v>
      </c>
      <c r="H57" s="139">
        <f t="shared" si="12"/>
        <v>0</v>
      </c>
      <c r="I57" s="139">
        <f t="shared" si="12"/>
        <v>0</v>
      </c>
      <c r="J57" s="139">
        <f t="shared" si="12"/>
        <v>0</v>
      </c>
      <c r="K57" s="139">
        <f t="shared" si="12"/>
        <v>0</v>
      </c>
      <c r="L57" s="139">
        <f t="shared" si="12"/>
        <v>0</v>
      </c>
      <c r="M57" s="139">
        <f t="shared" ref="M57:Z57" si="13">M48+M56</f>
        <v>4061</v>
      </c>
      <c r="N57" s="139">
        <f t="shared" si="13"/>
        <v>0</v>
      </c>
      <c r="O57" s="139">
        <f t="shared" si="13"/>
        <v>0</v>
      </c>
      <c r="P57" s="139">
        <f t="shared" si="13"/>
        <v>0</v>
      </c>
      <c r="Q57" s="139">
        <f t="shared" si="13"/>
        <v>0</v>
      </c>
      <c r="R57" s="139">
        <f t="shared" si="13"/>
        <v>0</v>
      </c>
      <c r="S57" s="139">
        <f t="shared" si="13"/>
        <v>0</v>
      </c>
      <c r="T57" s="139">
        <f t="shared" si="13"/>
        <v>0</v>
      </c>
      <c r="U57" s="139">
        <f t="shared" si="13"/>
        <v>0</v>
      </c>
      <c r="V57" s="139">
        <f t="shared" si="13"/>
        <v>0</v>
      </c>
      <c r="W57" s="139">
        <f t="shared" si="13"/>
        <v>0</v>
      </c>
      <c r="X57" s="139">
        <f t="shared" si="13"/>
        <v>0</v>
      </c>
      <c r="Y57" s="139">
        <f t="shared" si="13"/>
        <v>0</v>
      </c>
      <c r="Z57" s="146">
        <f t="shared" si="13"/>
        <v>78036</v>
      </c>
    </row>
    <row r="58" spans="1:26" ht="20.25" customHeight="1">
      <c r="A58" s="358" t="s">
        <v>57</v>
      </c>
      <c r="B58" s="149">
        <v>116415.97</v>
      </c>
      <c r="C58" s="149">
        <v>26700</v>
      </c>
      <c r="D58" s="149">
        <v>3988</v>
      </c>
      <c r="E58" s="149"/>
      <c r="F58" s="149">
        <v>332410</v>
      </c>
      <c r="G58" s="149"/>
      <c r="H58" s="149"/>
      <c r="I58" s="149"/>
      <c r="J58" s="149"/>
      <c r="K58" s="149"/>
      <c r="L58" s="149"/>
      <c r="M58" s="150">
        <v>5040</v>
      </c>
      <c r="N58" s="149"/>
      <c r="O58" s="149"/>
      <c r="P58" s="149"/>
      <c r="Q58" s="149"/>
      <c r="R58" s="149">
        <v>20000</v>
      </c>
      <c r="S58" s="149"/>
      <c r="T58" s="149">
        <v>16720</v>
      </c>
      <c r="U58" s="149"/>
      <c r="V58" s="149"/>
      <c r="W58" s="149"/>
      <c r="X58" s="149"/>
      <c r="Y58" s="149"/>
      <c r="Z58" s="151">
        <f t="shared" ref="Z58:Z63" si="14">SUM(B58:Y58)</f>
        <v>521273.97</v>
      </c>
    </row>
    <row r="59" spans="1:26" ht="20.25" customHeight="1">
      <c r="A59" s="359">
        <v>532000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51">
        <f t="shared" si="14"/>
        <v>0</v>
      </c>
    </row>
    <row r="60" spans="1:26" ht="20.25" customHeight="1">
      <c r="A60" s="346" t="s">
        <v>335</v>
      </c>
      <c r="B60" s="138">
        <f>4500+5000+6000+60000+4500+800+3000+656</f>
        <v>84456</v>
      </c>
      <c r="C60" s="138">
        <f>6000+1960</f>
        <v>7960</v>
      </c>
      <c r="D60" s="138"/>
      <c r="E60" s="138"/>
      <c r="F60" s="138">
        <v>0</v>
      </c>
      <c r="G60" s="138"/>
      <c r="H60" s="138"/>
      <c r="I60" s="138"/>
      <c r="J60" s="138"/>
      <c r="K60" s="138"/>
      <c r="L60" s="138"/>
      <c r="M60" s="136">
        <v>1350</v>
      </c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51">
        <f t="shared" si="14"/>
        <v>93766</v>
      </c>
    </row>
    <row r="61" spans="1:26" ht="20.25" customHeight="1">
      <c r="A61" s="348" t="s">
        <v>336</v>
      </c>
      <c r="B61" s="138">
        <v>0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6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4"/>
        <v>0</v>
      </c>
    </row>
    <row r="62" spans="1:26" ht="20.25" customHeight="1">
      <c r="A62" s="348" t="s">
        <v>337</v>
      </c>
      <c r="B62" s="138">
        <v>3348.8</v>
      </c>
      <c r="C62" s="138">
        <f>300+6000</f>
        <v>6300</v>
      </c>
      <c r="D62" s="138">
        <f>980+4095+2000</f>
        <v>7075</v>
      </c>
      <c r="E62" s="138"/>
      <c r="F62" s="138">
        <v>0</v>
      </c>
      <c r="G62" s="138">
        <v>28320</v>
      </c>
      <c r="H62" s="138"/>
      <c r="I62" s="138"/>
      <c r="J62" s="138"/>
      <c r="K62" s="138"/>
      <c r="L62" s="138"/>
      <c r="M62" s="136">
        <v>0</v>
      </c>
      <c r="N62" s="138"/>
      <c r="O62" s="138"/>
      <c r="P62" s="138"/>
      <c r="Q62" s="138"/>
      <c r="R62" s="138">
        <v>0</v>
      </c>
      <c r="S62" s="138"/>
      <c r="T62" s="138">
        <f>4800+28200+22000+15000</f>
        <v>70000</v>
      </c>
      <c r="U62" s="138"/>
      <c r="V62" s="138"/>
      <c r="W62" s="138"/>
      <c r="X62" s="138"/>
      <c r="Y62" s="138"/>
      <c r="Z62" s="151">
        <f t="shared" si="14"/>
        <v>115043.8</v>
      </c>
    </row>
    <row r="63" spans="1:26" ht="20.25" customHeight="1" thickBot="1">
      <c r="A63" s="347" t="s">
        <v>338</v>
      </c>
      <c r="B63" s="138">
        <v>3810</v>
      </c>
      <c r="C63" s="138"/>
      <c r="D63" s="138">
        <v>0</v>
      </c>
      <c r="E63" s="138"/>
      <c r="F63" s="138"/>
      <c r="G63" s="138"/>
      <c r="H63" s="138"/>
      <c r="I63" s="138"/>
      <c r="J63" s="138"/>
      <c r="K63" s="138"/>
      <c r="L63" s="138"/>
      <c r="M63" s="144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51">
        <f t="shared" si="14"/>
        <v>3810</v>
      </c>
    </row>
    <row r="64" spans="1:26" ht="20.25" customHeight="1">
      <c r="A64" s="356" t="s">
        <v>253</v>
      </c>
      <c r="B64" s="140">
        <f t="shared" ref="B64:Z64" si="15">SUM(B60:B63)</f>
        <v>91614.8</v>
      </c>
      <c r="C64" s="140">
        <f t="shared" si="15"/>
        <v>14260</v>
      </c>
      <c r="D64" s="140">
        <f t="shared" si="15"/>
        <v>7075</v>
      </c>
      <c r="E64" s="140">
        <f t="shared" si="15"/>
        <v>0</v>
      </c>
      <c r="F64" s="140">
        <f t="shared" si="15"/>
        <v>0</v>
      </c>
      <c r="G64" s="140">
        <f t="shared" si="15"/>
        <v>28320</v>
      </c>
      <c r="H64" s="140">
        <f t="shared" si="15"/>
        <v>0</v>
      </c>
      <c r="I64" s="140">
        <f t="shared" si="15"/>
        <v>0</v>
      </c>
      <c r="J64" s="140">
        <f t="shared" si="15"/>
        <v>0</v>
      </c>
      <c r="K64" s="140">
        <f t="shared" si="15"/>
        <v>0</v>
      </c>
      <c r="L64" s="140">
        <f t="shared" si="15"/>
        <v>0</v>
      </c>
      <c r="M64" s="140">
        <f t="shared" si="15"/>
        <v>1350</v>
      </c>
      <c r="N64" s="140">
        <f t="shared" si="15"/>
        <v>0</v>
      </c>
      <c r="O64" s="140">
        <f t="shared" si="15"/>
        <v>0</v>
      </c>
      <c r="P64" s="140">
        <f t="shared" si="15"/>
        <v>0</v>
      </c>
      <c r="Q64" s="140">
        <f t="shared" si="15"/>
        <v>0</v>
      </c>
      <c r="R64" s="140">
        <f t="shared" si="15"/>
        <v>0</v>
      </c>
      <c r="S64" s="140">
        <f t="shared" si="15"/>
        <v>0</v>
      </c>
      <c r="T64" s="140">
        <f t="shared" si="15"/>
        <v>70000</v>
      </c>
      <c r="U64" s="140">
        <f t="shared" si="15"/>
        <v>0</v>
      </c>
      <c r="V64" s="140">
        <f t="shared" si="15"/>
        <v>0</v>
      </c>
      <c r="W64" s="140">
        <f t="shared" si="15"/>
        <v>0</v>
      </c>
      <c r="X64" s="140">
        <f t="shared" si="15"/>
        <v>0</v>
      </c>
      <c r="Y64" s="140">
        <f t="shared" si="15"/>
        <v>0</v>
      </c>
      <c r="Z64" s="142">
        <f t="shared" si="15"/>
        <v>212619.8</v>
      </c>
    </row>
    <row r="65" spans="1:208" ht="20.25" customHeight="1" thickBot="1">
      <c r="A65" s="357" t="s">
        <v>254</v>
      </c>
      <c r="B65" s="139">
        <f t="shared" ref="B65:R65" si="16">B58+B64</f>
        <v>208030.77000000002</v>
      </c>
      <c r="C65" s="139">
        <f t="shared" si="16"/>
        <v>40960</v>
      </c>
      <c r="D65" s="139">
        <f t="shared" si="16"/>
        <v>11063</v>
      </c>
      <c r="E65" s="139">
        <f t="shared" si="16"/>
        <v>0</v>
      </c>
      <c r="F65" s="139">
        <f t="shared" si="16"/>
        <v>332410</v>
      </c>
      <c r="G65" s="139">
        <f t="shared" si="16"/>
        <v>28320</v>
      </c>
      <c r="H65" s="139">
        <f t="shared" si="16"/>
        <v>0</v>
      </c>
      <c r="I65" s="139">
        <f t="shared" si="16"/>
        <v>0</v>
      </c>
      <c r="J65" s="139">
        <f t="shared" si="16"/>
        <v>0</v>
      </c>
      <c r="K65" s="139">
        <f t="shared" si="16"/>
        <v>0</v>
      </c>
      <c r="L65" s="139">
        <f t="shared" si="16"/>
        <v>0</v>
      </c>
      <c r="M65" s="139">
        <f t="shared" si="16"/>
        <v>6390</v>
      </c>
      <c r="N65" s="139">
        <f t="shared" si="16"/>
        <v>0</v>
      </c>
      <c r="O65" s="139">
        <f t="shared" si="16"/>
        <v>0</v>
      </c>
      <c r="P65" s="139">
        <f t="shared" si="16"/>
        <v>0</v>
      </c>
      <c r="Q65" s="139">
        <f t="shared" si="16"/>
        <v>0</v>
      </c>
      <c r="R65" s="139">
        <f t="shared" si="16"/>
        <v>20000</v>
      </c>
      <c r="S65" s="139">
        <f>+S58+S64</f>
        <v>0</v>
      </c>
      <c r="T65" s="139">
        <f t="shared" ref="T65:Z65" si="17">T58+T64</f>
        <v>86720</v>
      </c>
      <c r="U65" s="139">
        <f t="shared" si="17"/>
        <v>0</v>
      </c>
      <c r="V65" s="139">
        <f t="shared" si="17"/>
        <v>0</v>
      </c>
      <c r="W65" s="139">
        <f t="shared" si="17"/>
        <v>0</v>
      </c>
      <c r="X65" s="139">
        <f t="shared" si="17"/>
        <v>0</v>
      </c>
      <c r="Y65" s="139">
        <f t="shared" si="17"/>
        <v>0</v>
      </c>
      <c r="Z65" s="146">
        <f t="shared" si="17"/>
        <v>733893.77</v>
      </c>
    </row>
    <row r="66" spans="1:208" s="136" customFormat="1" ht="20.25" customHeight="1">
      <c r="A66" s="360" t="s">
        <v>57</v>
      </c>
      <c r="B66" s="133">
        <v>20564</v>
      </c>
      <c r="C66" s="138">
        <v>200</v>
      </c>
      <c r="D66" s="149">
        <v>3100</v>
      </c>
      <c r="E66" s="149"/>
      <c r="F66" s="133"/>
      <c r="G66" s="133"/>
      <c r="H66" s="133"/>
      <c r="I66" s="149"/>
      <c r="J66" s="152"/>
      <c r="K66" s="152"/>
      <c r="L66" s="152"/>
      <c r="M66" s="152">
        <v>360</v>
      </c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5">
        <f t="shared" ref="Z66:Z81" si="18">SUM(B66:Y66)</f>
        <v>24224</v>
      </c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43"/>
      <c r="DA66" s="143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143"/>
      <c r="EE66" s="143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43"/>
      <c r="EW66" s="143"/>
      <c r="EX66" s="143"/>
      <c r="EY66" s="143"/>
      <c r="EZ66" s="143"/>
      <c r="FA66" s="143"/>
      <c r="FB66" s="143"/>
      <c r="FC66" s="143"/>
      <c r="FD66" s="143"/>
      <c r="FE66" s="143"/>
      <c r="FF66" s="143"/>
      <c r="FG66" s="143"/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/>
      <c r="GR66" s="143"/>
      <c r="GS66" s="143"/>
      <c r="GT66" s="143"/>
      <c r="GU66" s="143"/>
      <c r="GV66" s="143"/>
      <c r="GW66" s="143"/>
      <c r="GX66" s="143"/>
      <c r="GY66" s="143"/>
      <c r="GZ66" s="143"/>
    </row>
    <row r="67" spans="1:208" s="136" customFormat="1" ht="20.25" customHeight="1">
      <c r="A67" s="359">
        <v>533000</v>
      </c>
      <c r="B67" s="148"/>
      <c r="C67" s="148"/>
      <c r="D67" s="148"/>
      <c r="E67" s="148"/>
      <c r="F67" s="148"/>
      <c r="G67" s="148"/>
      <c r="H67" s="148"/>
      <c r="I67" s="148"/>
      <c r="J67" s="152"/>
      <c r="K67" s="152"/>
      <c r="L67" s="152"/>
      <c r="M67" s="152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5">
        <f t="shared" si="18"/>
        <v>0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46" t="s">
        <v>339</v>
      </c>
      <c r="B68" s="138">
        <v>45070</v>
      </c>
      <c r="C68" s="138">
        <v>0</v>
      </c>
      <c r="D68" s="148"/>
      <c r="E68" s="148"/>
      <c r="F68" s="138"/>
      <c r="G68" s="13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8"/>
        <v>45070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8" t="s">
        <v>340</v>
      </c>
      <c r="B69" s="138">
        <v>0</v>
      </c>
      <c r="C69" s="138">
        <v>0</v>
      </c>
      <c r="D69" s="148"/>
      <c r="E69" s="148"/>
      <c r="F69" s="138"/>
      <c r="G69" s="138"/>
      <c r="H69" s="13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8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20.25" customHeight="1">
      <c r="A70" s="348" t="s">
        <v>341</v>
      </c>
      <c r="B70" s="138">
        <v>0</v>
      </c>
      <c r="C70" s="138"/>
      <c r="D70" s="148"/>
      <c r="E70" s="148"/>
      <c r="F70" s="138"/>
      <c r="G70" s="138">
        <v>0</v>
      </c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35">
        <f t="shared" si="18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20.25" customHeight="1">
      <c r="A71" s="348" t="s">
        <v>343</v>
      </c>
      <c r="B71" s="138"/>
      <c r="C71" s="138"/>
      <c r="D71" s="148"/>
      <c r="E71" s="148"/>
      <c r="F71" s="138"/>
      <c r="G71" s="138"/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8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8" t="s">
        <v>344</v>
      </c>
      <c r="B72" s="138">
        <v>5520</v>
      </c>
      <c r="C72" s="138">
        <v>300</v>
      </c>
      <c r="D72" s="148">
        <v>3260</v>
      </c>
      <c r="E72" s="148"/>
      <c r="F72" s="138"/>
      <c r="G72" s="138"/>
      <c r="H72" s="138"/>
      <c r="I72" s="148"/>
      <c r="J72" s="152"/>
      <c r="K72" s="152">
        <v>0</v>
      </c>
      <c r="L72" s="152"/>
      <c r="M72" s="152">
        <v>360</v>
      </c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35">
        <f t="shared" si="18"/>
        <v>9440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8" t="s">
        <v>345</v>
      </c>
      <c r="B73" s="138">
        <v>0</v>
      </c>
      <c r="C73" s="138">
        <v>0</v>
      </c>
      <c r="D73" s="148">
        <v>0</v>
      </c>
      <c r="E73" s="148"/>
      <c r="F73" s="138"/>
      <c r="G73" s="138"/>
      <c r="H73" s="148"/>
      <c r="I73" s="148"/>
      <c r="J73" s="152"/>
      <c r="K73" s="152"/>
      <c r="L73" s="152"/>
      <c r="M73" s="152">
        <v>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8"/>
        <v>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20.25" customHeight="1">
      <c r="A74" s="348" t="s">
        <v>346</v>
      </c>
      <c r="B74" s="138"/>
      <c r="C74" s="138"/>
      <c r="D74" s="153"/>
      <c r="E74" s="153"/>
      <c r="F74" s="138"/>
      <c r="G74" s="138"/>
      <c r="H74" s="153"/>
      <c r="I74" s="153"/>
      <c r="J74" s="152"/>
      <c r="K74" s="152"/>
      <c r="L74" s="152"/>
      <c r="M74" s="152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35">
        <f t="shared" si="18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20.25" customHeight="1">
      <c r="A75" s="348" t="s">
        <v>347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>
        <v>0</v>
      </c>
      <c r="W75" s="153"/>
      <c r="X75" s="153"/>
      <c r="Y75" s="153"/>
      <c r="Z75" s="135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8" t="s">
        <v>348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35">
        <f t="shared" si="18"/>
        <v>0</v>
      </c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8" t="s">
        <v>349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>
        <v>0</v>
      </c>
      <c r="T77" s="153"/>
      <c r="U77" s="153"/>
      <c r="V77" s="153"/>
      <c r="W77" s="153"/>
      <c r="X77" s="153"/>
      <c r="Y77" s="153"/>
      <c r="Z77" s="135">
        <f t="shared" si="18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8" t="s">
        <v>350</v>
      </c>
      <c r="B78" s="138">
        <v>0</v>
      </c>
      <c r="C78" s="138">
        <v>0</v>
      </c>
      <c r="D78" s="153"/>
      <c r="E78" s="153"/>
      <c r="F78" s="138"/>
      <c r="G78" s="138">
        <v>0</v>
      </c>
      <c r="H78" s="153">
        <v>0</v>
      </c>
      <c r="I78" s="153"/>
      <c r="J78" s="153"/>
      <c r="K78" s="153"/>
      <c r="L78" s="153"/>
      <c r="M78" s="152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35">
        <f t="shared" si="18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 thickBot="1">
      <c r="A79" s="349" t="s">
        <v>351</v>
      </c>
      <c r="B79" s="138"/>
      <c r="C79" s="138"/>
      <c r="D79" s="153"/>
      <c r="E79" s="153"/>
      <c r="F79" s="138"/>
      <c r="G79" s="138"/>
      <c r="H79" s="153"/>
      <c r="I79" s="153"/>
      <c r="J79" s="153"/>
      <c r="K79" s="153"/>
      <c r="L79" s="153"/>
      <c r="M79" s="152">
        <v>0</v>
      </c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8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>
      <c r="A80" s="356" t="s">
        <v>253</v>
      </c>
      <c r="B80" s="140">
        <f>SUM(B67:B79)</f>
        <v>50590</v>
      </c>
      <c r="C80" s="140">
        <f t="shared" ref="C80:Y80" si="19">SUM(C68:C79)</f>
        <v>300</v>
      </c>
      <c r="D80" s="140">
        <f t="shared" si="19"/>
        <v>3260</v>
      </c>
      <c r="E80" s="140">
        <f t="shared" si="19"/>
        <v>0</v>
      </c>
      <c r="F80" s="140">
        <f t="shared" si="19"/>
        <v>0</v>
      </c>
      <c r="G80" s="140">
        <f t="shared" si="19"/>
        <v>0</v>
      </c>
      <c r="H80" s="140">
        <f t="shared" si="19"/>
        <v>0</v>
      </c>
      <c r="I80" s="140">
        <f t="shared" si="19"/>
        <v>0</v>
      </c>
      <c r="J80" s="140">
        <f t="shared" si="19"/>
        <v>0</v>
      </c>
      <c r="K80" s="140">
        <f t="shared" si="19"/>
        <v>0</v>
      </c>
      <c r="L80" s="140">
        <f t="shared" si="19"/>
        <v>0</v>
      </c>
      <c r="M80" s="140">
        <f t="shared" si="19"/>
        <v>360</v>
      </c>
      <c r="N80" s="140">
        <f t="shared" si="19"/>
        <v>0</v>
      </c>
      <c r="O80" s="140">
        <f t="shared" si="19"/>
        <v>0</v>
      </c>
      <c r="P80" s="140">
        <f t="shared" si="19"/>
        <v>0</v>
      </c>
      <c r="Q80" s="140">
        <f t="shared" si="19"/>
        <v>0</v>
      </c>
      <c r="R80" s="140">
        <f t="shared" si="19"/>
        <v>0</v>
      </c>
      <c r="S80" s="140">
        <f t="shared" si="19"/>
        <v>0</v>
      </c>
      <c r="T80" s="140">
        <f t="shared" si="19"/>
        <v>0</v>
      </c>
      <c r="U80" s="140">
        <f t="shared" si="19"/>
        <v>0</v>
      </c>
      <c r="V80" s="140">
        <f t="shared" si="19"/>
        <v>0</v>
      </c>
      <c r="W80" s="140">
        <f t="shared" si="19"/>
        <v>0</v>
      </c>
      <c r="X80" s="140">
        <f t="shared" si="19"/>
        <v>0</v>
      </c>
      <c r="Y80" s="140">
        <f t="shared" si="19"/>
        <v>0</v>
      </c>
      <c r="Z80" s="142">
        <f t="shared" si="18"/>
        <v>54510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 thickBot="1">
      <c r="A81" s="357" t="s">
        <v>254</v>
      </c>
      <c r="B81" s="139">
        <f t="shared" ref="B81:Y81" si="20">B80+B66</f>
        <v>71154</v>
      </c>
      <c r="C81" s="139">
        <f t="shared" si="20"/>
        <v>500</v>
      </c>
      <c r="D81" s="139">
        <f t="shared" si="20"/>
        <v>6360</v>
      </c>
      <c r="E81" s="139">
        <f t="shared" si="20"/>
        <v>0</v>
      </c>
      <c r="F81" s="139">
        <f t="shared" si="20"/>
        <v>0</v>
      </c>
      <c r="G81" s="139">
        <f t="shared" si="20"/>
        <v>0</v>
      </c>
      <c r="H81" s="139">
        <f t="shared" si="20"/>
        <v>0</v>
      </c>
      <c r="I81" s="139">
        <f t="shared" si="20"/>
        <v>0</v>
      </c>
      <c r="J81" s="139">
        <f t="shared" si="20"/>
        <v>0</v>
      </c>
      <c r="K81" s="139">
        <f t="shared" si="20"/>
        <v>0</v>
      </c>
      <c r="L81" s="139">
        <f t="shared" si="20"/>
        <v>0</v>
      </c>
      <c r="M81" s="139">
        <f t="shared" si="20"/>
        <v>720</v>
      </c>
      <c r="N81" s="139">
        <f t="shared" si="20"/>
        <v>0</v>
      </c>
      <c r="O81" s="139">
        <f t="shared" si="20"/>
        <v>0</v>
      </c>
      <c r="P81" s="139">
        <f t="shared" si="20"/>
        <v>0</v>
      </c>
      <c r="Q81" s="139">
        <f t="shared" si="20"/>
        <v>0</v>
      </c>
      <c r="R81" s="139">
        <f t="shared" si="20"/>
        <v>0</v>
      </c>
      <c r="S81" s="139">
        <f t="shared" si="20"/>
        <v>0</v>
      </c>
      <c r="T81" s="139">
        <f t="shared" si="20"/>
        <v>0</v>
      </c>
      <c r="U81" s="139">
        <f t="shared" si="20"/>
        <v>0</v>
      </c>
      <c r="V81" s="139">
        <f t="shared" si="20"/>
        <v>0</v>
      </c>
      <c r="W81" s="139">
        <f t="shared" si="20"/>
        <v>0</v>
      </c>
      <c r="X81" s="139">
        <f t="shared" si="20"/>
        <v>0</v>
      </c>
      <c r="Y81" s="139">
        <f t="shared" si="20"/>
        <v>0</v>
      </c>
      <c r="Z81" s="146">
        <f t="shared" si="18"/>
        <v>78734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43" customFormat="1" ht="20.25" customHeight="1">
      <c r="A82" s="170"/>
    </row>
    <row r="83" spans="1:208" s="143" customFormat="1" ht="20.25" customHeight="1">
      <c r="A83" s="170"/>
    </row>
    <row r="84" spans="1:208" ht="20.25" customHeight="1">
      <c r="A84" s="498" t="s">
        <v>213</v>
      </c>
      <c r="B84" s="498"/>
      <c r="C84" s="498"/>
      <c r="D84" s="498"/>
      <c r="E84" s="498"/>
      <c r="F84" s="498"/>
      <c r="G84" s="498"/>
      <c r="H84" s="498"/>
      <c r="I84" s="498"/>
      <c r="J84" s="498"/>
      <c r="K84" s="498"/>
      <c r="L84" s="498"/>
      <c r="M84" s="498"/>
      <c r="N84" s="498"/>
      <c r="O84" s="498"/>
      <c r="P84" s="498"/>
      <c r="Q84" s="498"/>
      <c r="R84" s="498"/>
      <c r="S84" s="498"/>
      <c r="T84" s="498"/>
      <c r="U84" s="498"/>
      <c r="V84" s="498"/>
      <c r="W84" s="498"/>
      <c r="X84" s="498"/>
      <c r="Y84" s="498"/>
      <c r="Z84" s="498"/>
    </row>
    <row r="85" spans="1:208" ht="20.25" customHeight="1">
      <c r="A85" s="498" t="s">
        <v>214</v>
      </c>
      <c r="B85" s="498"/>
      <c r="C85" s="498"/>
      <c r="D85" s="498"/>
      <c r="E85" s="498"/>
      <c r="F85" s="498"/>
      <c r="G85" s="498"/>
      <c r="H85" s="498"/>
      <c r="I85" s="498"/>
      <c r="J85" s="498"/>
      <c r="K85" s="498"/>
      <c r="L85" s="498"/>
      <c r="M85" s="498"/>
      <c r="N85" s="498"/>
      <c r="O85" s="498"/>
      <c r="P85" s="498"/>
      <c r="Q85" s="498"/>
      <c r="R85" s="498"/>
      <c r="S85" s="498"/>
      <c r="T85" s="498"/>
      <c r="U85" s="498"/>
      <c r="V85" s="498"/>
      <c r="W85" s="498"/>
      <c r="X85" s="498"/>
      <c r="Y85" s="498"/>
      <c r="Z85" s="498"/>
    </row>
    <row r="86" spans="1:208" ht="20.25" customHeight="1" thickBot="1">
      <c r="A86" s="499" t="str">
        <f>A3</f>
        <v>วันที่  31  มกราคม  2556</v>
      </c>
      <c r="B86" s="499"/>
      <c r="C86" s="499"/>
      <c r="D86" s="499"/>
      <c r="E86" s="499"/>
      <c r="F86" s="499"/>
      <c r="G86" s="499"/>
      <c r="H86" s="499"/>
      <c r="I86" s="499"/>
      <c r="J86" s="499"/>
      <c r="K86" s="499"/>
      <c r="L86" s="499"/>
      <c r="M86" s="499"/>
      <c r="N86" s="499"/>
      <c r="O86" s="499"/>
      <c r="P86" s="499"/>
      <c r="Q86" s="499"/>
      <c r="R86" s="499"/>
      <c r="S86" s="499"/>
      <c r="T86" s="499"/>
      <c r="U86" s="499"/>
      <c r="V86" s="499"/>
      <c r="W86" s="499"/>
      <c r="X86" s="499"/>
      <c r="Y86" s="499"/>
      <c r="Z86" s="499"/>
    </row>
    <row r="87" spans="1:208" ht="20.25" customHeight="1">
      <c r="A87" s="356" t="s">
        <v>215</v>
      </c>
      <c r="B87" s="501" t="s">
        <v>216</v>
      </c>
      <c r="C87" s="503"/>
      <c r="D87" s="501" t="s">
        <v>217</v>
      </c>
      <c r="E87" s="503"/>
      <c r="F87" s="501" t="s">
        <v>218</v>
      </c>
      <c r="G87" s="502"/>
      <c r="H87" s="503"/>
      <c r="I87" s="501" t="s">
        <v>219</v>
      </c>
      <c r="J87" s="503"/>
      <c r="K87" s="501" t="s">
        <v>220</v>
      </c>
      <c r="L87" s="503"/>
      <c r="M87" s="501" t="s">
        <v>221</v>
      </c>
      <c r="N87" s="502"/>
      <c r="O87" s="503"/>
      <c r="P87" s="501" t="s">
        <v>222</v>
      </c>
      <c r="Q87" s="503"/>
      <c r="R87" s="501" t="s">
        <v>223</v>
      </c>
      <c r="S87" s="502"/>
      <c r="T87" s="503"/>
      <c r="U87" s="129" t="s">
        <v>224</v>
      </c>
      <c r="V87" s="501" t="s">
        <v>225</v>
      </c>
      <c r="W87" s="503"/>
      <c r="X87" s="129" t="s">
        <v>226</v>
      </c>
      <c r="Y87" s="129" t="s">
        <v>227</v>
      </c>
      <c r="Z87" s="506" t="s">
        <v>56</v>
      </c>
    </row>
    <row r="88" spans="1:208" ht="20.25" customHeight="1" thickBot="1">
      <c r="A88" s="357" t="s">
        <v>228</v>
      </c>
      <c r="B88" s="131" t="s">
        <v>229</v>
      </c>
      <c r="C88" s="131" t="s">
        <v>230</v>
      </c>
      <c r="D88" s="131" t="s">
        <v>231</v>
      </c>
      <c r="E88" s="131" t="s">
        <v>232</v>
      </c>
      <c r="F88" s="131" t="s">
        <v>233</v>
      </c>
      <c r="G88" s="131" t="s">
        <v>234</v>
      </c>
      <c r="H88" s="131" t="s">
        <v>235</v>
      </c>
      <c r="I88" s="131" t="s">
        <v>236</v>
      </c>
      <c r="J88" s="131" t="s">
        <v>237</v>
      </c>
      <c r="K88" s="131" t="s">
        <v>238</v>
      </c>
      <c r="L88" s="131" t="s">
        <v>239</v>
      </c>
      <c r="M88" s="132" t="s">
        <v>240</v>
      </c>
      <c r="N88" s="131" t="s">
        <v>241</v>
      </c>
      <c r="O88" s="131" t="s">
        <v>242</v>
      </c>
      <c r="P88" s="131" t="s">
        <v>243</v>
      </c>
      <c r="Q88" s="131" t="s">
        <v>244</v>
      </c>
      <c r="R88" s="131" t="s">
        <v>245</v>
      </c>
      <c r="S88" s="131" t="s">
        <v>246</v>
      </c>
      <c r="T88" s="131" t="s">
        <v>247</v>
      </c>
      <c r="U88" s="131" t="s">
        <v>248</v>
      </c>
      <c r="V88" s="131" t="s">
        <v>249</v>
      </c>
      <c r="W88" s="131" t="s">
        <v>250</v>
      </c>
      <c r="X88" s="131" t="s">
        <v>251</v>
      </c>
      <c r="Y88" s="131" t="s">
        <v>252</v>
      </c>
      <c r="Z88" s="507"/>
    </row>
    <row r="89" spans="1:208" ht="20.25" customHeight="1">
      <c r="A89" s="360" t="s">
        <v>57</v>
      </c>
      <c r="B89" s="133">
        <v>24506.84</v>
      </c>
      <c r="C89" s="133"/>
      <c r="D89" s="133"/>
      <c r="E89" s="133">
        <v>246.1</v>
      </c>
      <c r="F89" s="133">
        <v>877.46</v>
      </c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>
        <v>152925.81</v>
      </c>
      <c r="Y89" s="133">
        <v>0</v>
      </c>
      <c r="Z89" s="154">
        <f>SUM(B89:Y89)</f>
        <v>178556.21</v>
      </c>
    </row>
    <row r="90" spans="1:208" ht="20.25" customHeight="1">
      <c r="A90" s="359">
        <v>534000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55">
        <f>SUM(B90:Y90)</f>
        <v>0</v>
      </c>
    </row>
    <row r="91" spans="1:208" ht="20.25" customHeight="1">
      <c r="A91" s="343" t="s">
        <v>353</v>
      </c>
      <c r="B91" s="136">
        <v>8089.32</v>
      </c>
      <c r="C91" s="136"/>
      <c r="D91" s="136"/>
      <c r="E91" s="136"/>
      <c r="F91" s="136">
        <v>321.95</v>
      </c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>
        <v>50803.99</v>
      </c>
      <c r="Y91" s="136"/>
      <c r="Z91" s="145">
        <f>SUM(B91:Y91)</f>
        <v>59215.259999999995</v>
      </c>
    </row>
    <row r="92" spans="1:208" ht="20.25" customHeight="1">
      <c r="A92" s="345" t="s">
        <v>354</v>
      </c>
      <c r="B92" s="136">
        <f>245.03+180.94</f>
        <v>425.97</v>
      </c>
      <c r="C92" s="136"/>
      <c r="D92" s="136"/>
      <c r="E92" s="136">
        <v>126.26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45">
        <f>SUM(B92:Y92)</f>
        <v>552.23</v>
      </c>
    </row>
    <row r="93" spans="1:208" ht="20.25" customHeight="1">
      <c r="A93" s="345" t="s">
        <v>355</v>
      </c>
      <c r="B93" s="133">
        <v>1211</v>
      </c>
      <c r="C93" s="133">
        <v>752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6"/>
      <c r="Y93" s="136"/>
      <c r="Z93" s="145">
        <f>SUM(B93:Y93)</f>
        <v>1963</v>
      </c>
    </row>
    <row r="94" spans="1:208" ht="20.25" customHeight="1">
      <c r="A94" s="345" t="s">
        <v>356</v>
      </c>
      <c r="B94" s="133">
        <v>0</v>
      </c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8"/>
      <c r="Y94" s="138"/>
      <c r="Z94" s="156"/>
    </row>
    <row r="95" spans="1:208" ht="20.25" customHeight="1" thickBot="1">
      <c r="A95" s="350">
        <v>340800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9"/>
      <c r="Y95" s="139"/>
      <c r="Z95" s="157">
        <f>SUM(B95:Y95)</f>
        <v>0</v>
      </c>
    </row>
    <row r="96" spans="1:208" ht="20.25" customHeight="1">
      <c r="A96" s="356" t="s">
        <v>253</v>
      </c>
      <c r="B96" s="140">
        <f>SUM(B91:B95)</f>
        <v>9726.2899999999991</v>
      </c>
      <c r="C96" s="140">
        <f>SUM(C91:C93)</f>
        <v>752</v>
      </c>
      <c r="D96" s="140">
        <f>SUM(D91:D93)</f>
        <v>0</v>
      </c>
      <c r="E96" s="140">
        <f>SUM(E90:E95)</f>
        <v>126.26</v>
      </c>
      <c r="F96" s="140">
        <f t="shared" ref="F96:V96" si="21">SUM(F91:F93)</f>
        <v>321.95</v>
      </c>
      <c r="G96" s="140">
        <f t="shared" si="21"/>
        <v>0</v>
      </c>
      <c r="H96" s="140">
        <f t="shared" si="21"/>
        <v>0</v>
      </c>
      <c r="I96" s="140">
        <f t="shared" si="21"/>
        <v>0</v>
      </c>
      <c r="J96" s="140">
        <f t="shared" si="21"/>
        <v>0</v>
      </c>
      <c r="K96" s="140">
        <f t="shared" si="21"/>
        <v>0</v>
      </c>
      <c r="L96" s="140">
        <f t="shared" si="21"/>
        <v>0</v>
      </c>
      <c r="M96" s="140">
        <f t="shared" si="21"/>
        <v>0</v>
      </c>
      <c r="N96" s="140">
        <f t="shared" si="21"/>
        <v>0</v>
      </c>
      <c r="O96" s="140">
        <f t="shared" si="21"/>
        <v>0</v>
      </c>
      <c r="P96" s="140">
        <f t="shared" si="21"/>
        <v>0</v>
      </c>
      <c r="Q96" s="140">
        <f t="shared" si="21"/>
        <v>0</v>
      </c>
      <c r="R96" s="140">
        <f t="shared" si="21"/>
        <v>0</v>
      </c>
      <c r="S96" s="140">
        <f t="shared" si="21"/>
        <v>0</v>
      </c>
      <c r="T96" s="140">
        <f t="shared" si="21"/>
        <v>0</v>
      </c>
      <c r="U96" s="140">
        <f t="shared" si="21"/>
        <v>0</v>
      </c>
      <c r="V96" s="140">
        <f t="shared" si="21"/>
        <v>0</v>
      </c>
      <c r="W96" s="140"/>
      <c r="X96" s="140">
        <f>SUM(X91:X95)</f>
        <v>50803.99</v>
      </c>
      <c r="Y96" s="140"/>
      <c r="Z96" s="158">
        <f>SUM(B96:Y96)</f>
        <v>61730.49</v>
      </c>
    </row>
    <row r="97" spans="1:26" ht="20.25" customHeight="1" thickBot="1">
      <c r="A97" s="357" t="s">
        <v>254</v>
      </c>
      <c r="B97" s="139">
        <f t="shared" ref="B97:Z97" si="22">B89+B96</f>
        <v>34233.129999999997</v>
      </c>
      <c r="C97" s="139">
        <f t="shared" si="22"/>
        <v>752</v>
      </c>
      <c r="D97" s="139">
        <f t="shared" si="22"/>
        <v>0</v>
      </c>
      <c r="E97" s="139">
        <f t="shared" si="22"/>
        <v>372.36</v>
      </c>
      <c r="F97" s="139">
        <f t="shared" si="22"/>
        <v>1199.4100000000001</v>
      </c>
      <c r="G97" s="139">
        <f t="shared" si="22"/>
        <v>0</v>
      </c>
      <c r="H97" s="139">
        <f t="shared" si="22"/>
        <v>0</v>
      </c>
      <c r="I97" s="139">
        <f t="shared" si="22"/>
        <v>0</v>
      </c>
      <c r="J97" s="139">
        <f t="shared" si="22"/>
        <v>0</v>
      </c>
      <c r="K97" s="139">
        <f t="shared" si="22"/>
        <v>0</v>
      </c>
      <c r="L97" s="139">
        <f t="shared" si="22"/>
        <v>0</v>
      </c>
      <c r="M97" s="139">
        <f t="shared" si="22"/>
        <v>0</v>
      </c>
      <c r="N97" s="139">
        <f t="shared" si="22"/>
        <v>0</v>
      </c>
      <c r="O97" s="139">
        <f t="shared" si="22"/>
        <v>0</v>
      </c>
      <c r="P97" s="139">
        <f t="shared" si="22"/>
        <v>0</v>
      </c>
      <c r="Q97" s="139">
        <f t="shared" si="22"/>
        <v>0</v>
      </c>
      <c r="R97" s="139">
        <f t="shared" si="22"/>
        <v>0</v>
      </c>
      <c r="S97" s="139">
        <f t="shared" si="22"/>
        <v>0</v>
      </c>
      <c r="T97" s="139">
        <f t="shared" si="22"/>
        <v>0</v>
      </c>
      <c r="U97" s="139">
        <f t="shared" si="22"/>
        <v>0</v>
      </c>
      <c r="V97" s="139">
        <f t="shared" si="22"/>
        <v>0</v>
      </c>
      <c r="W97" s="139">
        <f t="shared" si="22"/>
        <v>0</v>
      </c>
      <c r="X97" s="139">
        <f t="shared" si="22"/>
        <v>203729.8</v>
      </c>
      <c r="Y97" s="139">
        <f t="shared" si="22"/>
        <v>0</v>
      </c>
      <c r="Z97" s="146">
        <f t="shared" si="22"/>
        <v>240286.69999999998</v>
      </c>
    </row>
    <row r="98" spans="1:26" ht="20.25" customHeight="1">
      <c r="A98" s="366" t="s">
        <v>57</v>
      </c>
      <c r="B98" s="133">
        <v>7108.01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>
        <v>0</v>
      </c>
      <c r="N98" s="133"/>
      <c r="O98" s="133"/>
      <c r="P98" s="133"/>
      <c r="Q98" s="133"/>
      <c r="R98" s="133">
        <v>0</v>
      </c>
      <c r="S98" s="133">
        <v>0</v>
      </c>
      <c r="T98" s="133">
        <v>0</v>
      </c>
      <c r="U98" s="133">
        <v>0</v>
      </c>
      <c r="V98" s="133">
        <v>0</v>
      </c>
      <c r="W98" s="133">
        <v>0</v>
      </c>
      <c r="X98" s="133">
        <v>0</v>
      </c>
      <c r="Y98" s="133">
        <v>0</v>
      </c>
      <c r="Z98" s="155">
        <f t="shared" ref="Z98:Z105" si="23">SUM(B98:Y98)</f>
        <v>7108.01</v>
      </c>
    </row>
    <row r="99" spans="1:26" ht="20.25" customHeight="1">
      <c r="A99" s="359">
        <v>541000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55">
        <f t="shared" si="23"/>
        <v>0</v>
      </c>
    </row>
    <row r="100" spans="1:26" ht="20.25" customHeight="1">
      <c r="A100" s="346" t="s">
        <v>359</v>
      </c>
      <c r="B100" s="136">
        <v>0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45">
        <f t="shared" si="23"/>
        <v>0</v>
      </c>
    </row>
    <row r="101" spans="1:26" ht="20.25" customHeight="1">
      <c r="A101" s="348" t="s">
        <v>360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>
        <v>0</v>
      </c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8"/>
      <c r="Y101" s="133"/>
      <c r="Z101" s="145">
        <f t="shared" si="23"/>
        <v>0</v>
      </c>
    </row>
    <row r="102" spans="1:26" ht="20.25" customHeight="1">
      <c r="A102" s="348" t="s">
        <v>361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8"/>
      <c r="Y102" s="133"/>
      <c r="Z102" s="145">
        <f t="shared" si="23"/>
        <v>0</v>
      </c>
    </row>
    <row r="103" spans="1:26" ht="20.25" customHeight="1">
      <c r="A103" s="348" t="s">
        <v>362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>
        <v>0</v>
      </c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8"/>
      <c r="Y103" s="133"/>
      <c r="Z103" s="145">
        <f t="shared" si="23"/>
        <v>0</v>
      </c>
    </row>
    <row r="104" spans="1:26" ht="20.25" customHeight="1">
      <c r="A104" s="348" t="s">
        <v>363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6"/>
      <c r="Y104" s="136"/>
      <c r="Z104" s="145">
        <f t="shared" si="23"/>
        <v>0</v>
      </c>
    </row>
    <row r="105" spans="1:26" ht="20.25" customHeight="1" thickBot="1">
      <c r="A105" s="349" t="s">
        <v>364</v>
      </c>
      <c r="B105" s="133">
        <v>36014.06</v>
      </c>
      <c r="C105" s="133"/>
      <c r="D105" s="133">
        <v>0</v>
      </c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9"/>
      <c r="Y105" s="139"/>
      <c r="Z105" s="145">
        <f t="shared" si="23"/>
        <v>36014.06</v>
      </c>
    </row>
    <row r="106" spans="1:26" ht="20.25" customHeight="1">
      <c r="A106" s="356" t="s">
        <v>253</v>
      </c>
      <c r="B106" s="140">
        <f t="shared" ref="B106:Z106" si="24">SUM(B99:B105)</f>
        <v>36014.06</v>
      </c>
      <c r="C106" s="140">
        <f t="shared" si="24"/>
        <v>0</v>
      </c>
      <c r="D106" s="140">
        <f t="shared" si="24"/>
        <v>0</v>
      </c>
      <c r="E106" s="140">
        <f t="shared" si="24"/>
        <v>0</v>
      </c>
      <c r="F106" s="140">
        <f t="shared" si="24"/>
        <v>0</v>
      </c>
      <c r="G106" s="140">
        <f t="shared" si="24"/>
        <v>0</v>
      </c>
      <c r="H106" s="140">
        <f t="shared" si="24"/>
        <v>0</v>
      </c>
      <c r="I106" s="140">
        <f t="shared" si="24"/>
        <v>0</v>
      </c>
      <c r="J106" s="140">
        <f t="shared" si="24"/>
        <v>0</v>
      </c>
      <c r="K106" s="140">
        <f t="shared" si="24"/>
        <v>0</v>
      </c>
      <c r="L106" s="140">
        <f t="shared" si="24"/>
        <v>0</v>
      </c>
      <c r="M106" s="140">
        <f t="shared" si="24"/>
        <v>0</v>
      </c>
      <c r="N106" s="140">
        <f t="shared" si="24"/>
        <v>0</v>
      </c>
      <c r="O106" s="140">
        <f t="shared" si="24"/>
        <v>0</v>
      </c>
      <c r="P106" s="140">
        <f t="shared" si="24"/>
        <v>0</v>
      </c>
      <c r="Q106" s="140">
        <f t="shared" si="24"/>
        <v>0</v>
      </c>
      <c r="R106" s="140">
        <f t="shared" si="24"/>
        <v>0</v>
      </c>
      <c r="S106" s="140">
        <f t="shared" si="24"/>
        <v>0</v>
      </c>
      <c r="T106" s="140">
        <f t="shared" si="24"/>
        <v>0</v>
      </c>
      <c r="U106" s="140">
        <f t="shared" si="24"/>
        <v>0</v>
      </c>
      <c r="V106" s="140">
        <f t="shared" si="24"/>
        <v>0</v>
      </c>
      <c r="W106" s="140">
        <f t="shared" si="24"/>
        <v>0</v>
      </c>
      <c r="X106" s="140">
        <f t="shared" si="24"/>
        <v>0</v>
      </c>
      <c r="Y106" s="140">
        <f t="shared" si="24"/>
        <v>0</v>
      </c>
      <c r="Z106" s="142">
        <f t="shared" si="24"/>
        <v>36014.06</v>
      </c>
    </row>
    <row r="107" spans="1:26" ht="20.25" customHeight="1" thickBot="1">
      <c r="A107" s="357" t="s">
        <v>254</v>
      </c>
      <c r="B107" s="139">
        <f t="shared" ref="B107:Z107" si="25">B98+B106</f>
        <v>43122.07</v>
      </c>
      <c r="C107" s="139">
        <f t="shared" si="25"/>
        <v>0</v>
      </c>
      <c r="D107" s="139">
        <f t="shared" si="25"/>
        <v>0</v>
      </c>
      <c r="E107" s="139">
        <f t="shared" si="25"/>
        <v>0</v>
      </c>
      <c r="F107" s="139">
        <f t="shared" si="25"/>
        <v>0</v>
      </c>
      <c r="G107" s="139">
        <f t="shared" si="25"/>
        <v>0</v>
      </c>
      <c r="H107" s="139">
        <f t="shared" si="25"/>
        <v>0</v>
      </c>
      <c r="I107" s="139">
        <f t="shared" si="25"/>
        <v>0</v>
      </c>
      <c r="J107" s="139">
        <f t="shared" si="25"/>
        <v>0</v>
      </c>
      <c r="K107" s="139">
        <f t="shared" si="25"/>
        <v>0</v>
      </c>
      <c r="L107" s="139">
        <f t="shared" si="25"/>
        <v>0</v>
      </c>
      <c r="M107" s="139">
        <f t="shared" si="25"/>
        <v>0</v>
      </c>
      <c r="N107" s="139">
        <f t="shared" si="25"/>
        <v>0</v>
      </c>
      <c r="O107" s="139">
        <f t="shared" si="25"/>
        <v>0</v>
      </c>
      <c r="P107" s="139">
        <f t="shared" si="25"/>
        <v>0</v>
      </c>
      <c r="Q107" s="139">
        <f t="shared" si="25"/>
        <v>0</v>
      </c>
      <c r="R107" s="139">
        <f t="shared" si="25"/>
        <v>0</v>
      </c>
      <c r="S107" s="139">
        <f t="shared" si="25"/>
        <v>0</v>
      </c>
      <c r="T107" s="139">
        <f t="shared" si="25"/>
        <v>0</v>
      </c>
      <c r="U107" s="139">
        <f t="shared" si="25"/>
        <v>0</v>
      </c>
      <c r="V107" s="139">
        <f t="shared" si="25"/>
        <v>0</v>
      </c>
      <c r="W107" s="139">
        <f t="shared" si="25"/>
        <v>0</v>
      </c>
      <c r="X107" s="139">
        <f t="shared" si="25"/>
        <v>0</v>
      </c>
      <c r="Y107" s="139">
        <f t="shared" si="25"/>
        <v>0</v>
      </c>
      <c r="Z107" s="146">
        <f t="shared" si="25"/>
        <v>43122.07</v>
      </c>
    </row>
    <row r="108" spans="1:26" ht="20.25" customHeight="1" thickBot="1">
      <c r="A108" s="366" t="s">
        <v>57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>
        <v>0</v>
      </c>
      <c r="S108" s="133">
        <v>0</v>
      </c>
      <c r="T108" s="133">
        <v>0</v>
      </c>
      <c r="U108" s="133">
        <v>0</v>
      </c>
      <c r="V108" s="133">
        <v>0</v>
      </c>
      <c r="W108" s="133">
        <v>0</v>
      </c>
      <c r="X108" s="149">
        <v>0</v>
      </c>
      <c r="Y108" s="133">
        <v>0</v>
      </c>
      <c r="Z108" s="146">
        <f>SUM(B108:Y108)</f>
        <v>0</v>
      </c>
    </row>
    <row r="109" spans="1:26" ht="20.25" customHeight="1">
      <c r="A109" s="359">
        <v>542000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45">
        <f t="shared" ref="Z109:Z113" si="26">SUM(B109:Y109)</f>
        <v>0</v>
      </c>
    </row>
    <row r="110" spans="1:26" ht="20.25" customHeight="1">
      <c r="A110" s="351">
        <v>420600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45">
        <f t="shared" si="26"/>
        <v>0</v>
      </c>
    </row>
    <row r="111" spans="1:26" ht="20.25" customHeight="1">
      <c r="A111" s="345" t="s">
        <v>366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45">
        <f t="shared" si="26"/>
        <v>0</v>
      </c>
    </row>
    <row r="112" spans="1:26" ht="20.25" customHeight="1" thickBot="1">
      <c r="A112" s="352" t="s">
        <v>122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8"/>
      <c r="Y112" s="133"/>
      <c r="Z112" s="145">
        <f t="shared" si="26"/>
        <v>0</v>
      </c>
    </row>
    <row r="113" spans="1:26" ht="20.25" customHeight="1">
      <c r="A113" s="356" t="s">
        <v>253</v>
      </c>
      <c r="B113" s="140">
        <f t="shared" ref="B113:Y113" si="27">SUM(B110:B112)</f>
        <v>0</v>
      </c>
      <c r="C113" s="140">
        <f t="shared" si="27"/>
        <v>0</v>
      </c>
      <c r="D113" s="140">
        <f t="shared" si="27"/>
        <v>0</v>
      </c>
      <c r="E113" s="140">
        <f t="shared" si="27"/>
        <v>0</v>
      </c>
      <c r="F113" s="140">
        <f t="shared" si="27"/>
        <v>0</v>
      </c>
      <c r="G113" s="140">
        <f t="shared" si="27"/>
        <v>0</v>
      </c>
      <c r="H113" s="140">
        <f t="shared" si="27"/>
        <v>0</v>
      </c>
      <c r="I113" s="140">
        <f t="shared" si="27"/>
        <v>0</v>
      </c>
      <c r="J113" s="140">
        <f t="shared" si="27"/>
        <v>0</v>
      </c>
      <c r="K113" s="140">
        <f t="shared" si="27"/>
        <v>0</v>
      </c>
      <c r="L113" s="140">
        <f t="shared" si="27"/>
        <v>0</v>
      </c>
      <c r="M113" s="140">
        <f t="shared" si="27"/>
        <v>0</v>
      </c>
      <c r="N113" s="140">
        <f t="shared" si="27"/>
        <v>0</v>
      </c>
      <c r="O113" s="140">
        <f t="shared" si="27"/>
        <v>0</v>
      </c>
      <c r="P113" s="140">
        <f t="shared" si="27"/>
        <v>0</v>
      </c>
      <c r="Q113" s="140">
        <f t="shared" si="27"/>
        <v>0</v>
      </c>
      <c r="R113" s="140">
        <f t="shared" si="27"/>
        <v>0</v>
      </c>
      <c r="S113" s="140">
        <f t="shared" si="27"/>
        <v>0</v>
      </c>
      <c r="T113" s="140">
        <f t="shared" si="27"/>
        <v>0</v>
      </c>
      <c r="U113" s="140">
        <f t="shared" si="27"/>
        <v>0</v>
      </c>
      <c r="V113" s="140">
        <f t="shared" si="27"/>
        <v>0</v>
      </c>
      <c r="W113" s="140">
        <f t="shared" si="27"/>
        <v>0</v>
      </c>
      <c r="X113" s="140">
        <f t="shared" si="27"/>
        <v>0</v>
      </c>
      <c r="Y113" s="140">
        <f t="shared" si="27"/>
        <v>0</v>
      </c>
      <c r="Z113" s="158">
        <f t="shared" si="26"/>
        <v>0</v>
      </c>
    </row>
    <row r="114" spans="1:26" ht="20.25" customHeight="1" thickBot="1">
      <c r="A114" s="357" t="s">
        <v>254</v>
      </c>
      <c r="B114" s="139">
        <f t="shared" ref="B114:Z114" si="28">B108+B113</f>
        <v>0</v>
      </c>
      <c r="C114" s="139">
        <f t="shared" si="28"/>
        <v>0</v>
      </c>
      <c r="D114" s="139">
        <f t="shared" si="28"/>
        <v>0</v>
      </c>
      <c r="E114" s="139">
        <f t="shared" si="28"/>
        <v>0</v>
      </c>
      <c r="F114" s="139">
        <f t="shared" si="28"/>
        <v>0</v>
      </c>
      <c r="G114" s="139">
        <f t="shared" si="28"/>
        <v>0</v>
      </c>
      <c r="H114" s="139">
        <f t="shared" si="28"/>
        <v>0</v>
      </c>
      <c r="I114" s="139">
        <f t="shared" si="28"/>
        <v>0</v>
      </c>
      <c r="J114" s="139">
        <f t="shared" si="28"/>
        <v>0</v>
      </c>
      <c r="K114" s="139">
        <f t="shared" si="28"/>
        <v>0</v>
      </c>
      <c r="L114" s="139">
        <f t="shared" si="28"/>
        <v>0</v>
      </c>
      <c r="M114" s="139">
        <f t="shared" si="28"/>
        <v>0</v>
      </c>
      <c r="N114" s="139">
        <f t="shared" si="28"/>
        <v>0</v>
      </c>
      <c r="O114" s="139">
        <f t="shared" si="28"/>
        <v>0</v>
      </c>
      <c r="P114" s="139">
        <f t="shared" si="28"/>
        <v>0</v>
      </c>
      <c r="Q114" s="139">
        <f t="shared" si="28"/>
        <v>0</v>
      </c>
      <c r="R114" s="139">
        <f t="shared" si="28"/>
        <v>0</v>
      </c>
      <c r="S114" s="139">
        <f t="shared" si="28"/>
        <v>0</v>
      </c>
      <c r="T114" s="139">
        <f t="shared" si="28"/>
        <v>0</v>
      </c>
      <c r="U114" s="139">
        <f t="shared" si="28"/>
        <v>0</v>
      </c>
      <c r="V114" s="139">
        <f t="shared" si="28"/>
        <v>0</v>
      </c>
      <c r="W114" s="139">
        <f t="shared" si="28"/>
        <v>0</v>
      </c>
      <c r="X114" s="139">
        <f t="shared" si="28"/>
        <v>0</v>
      </c>
      <c r="Y114" s="139">
        <f t="shared" si="28"/>
        <v>0</v>
      </c>
      <c r="Z114" s="146">
        <f t="shared" si="28"/>
        <v>0</v>
      </c>
    </row>
    <row r="125" spans="1:26" ht="20.25" customHeight="1">
      <c r="A125" s="498" t="s">
        <v>213</v>
      </c>
      <c r="B125" s="498"/>
      <c r="C125" s="498"/>
      <c r="D125" s="498"/>
      <c r="E125" s="498"/>
      <c r="F125" s="498"/>
      <c r="G125" s="498"/>
      <c r="H125" s="498"/>
      <c r="I125" s="498"/>
      <c r="J125" s="498"/>
      <c r="K125" s="498"/>
      <c r="L125" s="498"/>
      <c r="M125" s="498"/>
      <c r="N125" s="498"/>
      <c r="O125" s="498"/>
      <c r="P125" s="498"/>
      <c r="Q125" s="498"/>
      <c r="R125" s="498"/>
      <c r="S125" s="498"/>
      <c r="T125" s="498"/>
      <c r="U125" s="498"/>
      <c r="V125" s="498"/>
      <c r="W125" s="498"/>
      <c r="X125" s="498"/>
      <c r="Y125" s="498"/>
      <c r="Z125" s="498"/>
    </row>
    <row r="126" spans="1:26" ht="20.25" customHeight="1">
      <c r="A126" s="498" t="s">
        <v>214</v>
      </c>
      <c r="B126" s="498"/>
      <c r="C126" s="498"/>
      <c r="D126" s="498"/>
      <c r="E126" s="498"/>
      <c r="F126" s="498"/>
      <c r="G126" s="498"/>
      <c r="H126" s="498"/>
      <c r="I126" s="498"/>
      <c r="J126" s="498"/>
      <c r="K126" s="498"/>
      <c r="L126" s="498"/>
      <c r="M126" s="498"/>
      <c r="N126" s="498"/>
      <c r="O126" s="498"/>
      <c r="P126" s="498"/>
      <c r="Q126" s="498"/>
      <c r="R126" s="498"/>
      <c r="S126" s="498"/>
      <c r="T126" s="498"/>
      <c r="U126" s="498"/>
      <c r="V126" s="498"/>
      <c r="W126" s="498"/>
      <c r="X126" s="498"/>
      <c r="Y126" s="498"/>
      <c r="Z126" s="498"/>
    </row>
    <row r="127" spans="1:26" ht="20.25" customHeight="1" thickBot="1">
      <c r="A127" s="499" t="str">
        <f>A3</f>
        <v>วันที่  31  มกราคม  2556</v>
      </c>
      <c r="B127" s="499"/>
      <c r="C127" s="499"/>
      <c r="D127" s="499"/>
      <c r="E127" s="499"/>
      <c r="F127" s="499"/>
      <c r="G127" s="499"/>
      <c r="H127" s="499"/>
      <c r="I127" s="499"/>
      <c r="J127" s="499"/>
      <c r="K127" s="499"/>
      <c r="L127" s="499"/>
      <c r="M127" s="499"/>
      <c r="N127" s="499"/>
      <c r="O127" s="499"/>
      <c r="P127" s="499"/>
      <c r="Q127" s="499"/>
      <c r="R127" s="499"/>
      <c r="S127" s="499"/>
      <c r="T127" s="499"/>
      <c r="U127" s="499"/>
      <c r="V127" s="499"/>
      <c r="W127" s="499"/>
      <c r="X127" s="499"/>
      <c r="Y127" s="499"/>
      <c r="Z127" s="499"/>
    </row>
    <row r="128" spans="1:26" ht="20.25" customHeight="1">
      <c r="A128" s="356" t="s">
        <v>215</v>
      </c>
      <c r="B128" s="500" t="s">
        <v>216</v>
      </c>
      <c r="C128" s="500"/>
      <c r="D128" s="500" t="s">
        <v>217</v>
      </c>
      <c r="E128" s="500"/>
      <c r="F128" s="500" t="s">
        <v>218</v>
      </c>
      <c r="G128" s="500"/>
      <c r="H128" s="500"/>
      <c r="I128" s="500" t="s">
        <v>219</v>
      </c>
      <c r="J128" s="500"/>
      <c r="K128" s="500" t="s">
        <v>220</v>
      </c>
      <c r="L128" s="500"/>
      <c r="M128" s="501" t="s">
        <v>221</v>
      </c>
      <c r="N128" s="502"/>
      <c r="O128" s="503"/>
      <c r="P128" s="500" t="s">
        <v>222</v>
      </c>
      <c r="Q128" s="500"/>
      <c r="R128" s="500" t="s">
        <v>223</v>
      </c>
      <c r="S128" s="500"/>
      <c r="T128" s="500"/>
      <c r="U128" s="129" t="s">
        <v>224</v>
      </c>
      <c r="V128" s="500" t="s">
        <v>225</v>
      </c>
      <c r="W128" s="500"/>
      <c r="X128" s="129" t="s">
        <v>226</v>
      </c>
      <c r="Y128" s="129" t="s">
        <v>227</v>
      </c>
      <c r="Z128" s="504" t="s">
        <v>56</v>
      </c>
    </row>
    <row r="129" spans="1:26" ht="20.25" customHeight="1" thickBot="1">
      <c r="A129" s="357" t="s">
        <v>228</v>
      </c>
      <c r="B129" s="131" t="s">
        <v>229</v>
      </c>
      <c r="C129" s="131" t="s">
        <v>230</v>
      </c>
      <c r="D129" s="131" t="s">
        <v>231</v>
      </c>
      <c r="E129" s="131" t="s">
        <v>232</v>
      </c>
      <c r="F129" s="131" t="s">
        <v>233</v>
      </c>
      <c r="G129" s="131" t="s">
        <v>234</v>
      </c>
      <c r="H129" s="131" t="s">
        <v>235</v>
      </c>
      <c r="I129" s="131" t="s">
        <v>236</v>
      </c>
      <c r="J129" s="131" t="s">
        <v>237</v>
      </c>
      <c r="K129" s="131" t="s">
        <v>238</v>
      </c>
      <c r="L129" s="131" t="s">
        <v>239</v>
      </c>
      <c r="M129" s="132" t="s">
        <v>240</v>
      </c>
      <c r="N129" s="131" t="s">
        <v>241</v>
      </c>
      <c r="O129" s="131" t="s">
        <v>242</v>
      </c>
      <c r="P129" s="131" t="s">
        <v>243</v>
      </c>
      <c r="Q129" s="131" t="s">
        <v>244</v>
      </c>
      <c r="R129" s="131" t="s">
        <v>245</v>
      </c>
      <c r="S129" s="131" t="s">
        <v>246</v>
      </c>
      <c r="T129" s="131" t="s">
        <v>247</v>
      </c>
      <c r="U129" s="131" t="s">
        <v>248</v>
      </c>
      <c r="V129" s="131" t="s">
        <v>249</v>
      </c>
      <c r="W129" s="131" t="s">
        <v>250</v>
      </c>
      <c r="X129" s="131" t="s">
        <v>251</v>
      </c>
      <c r="Y129" s="131" t="s">
        <v>252</v>
      </c>
      <c r="Z129" s="505"/>
    </row>
    <row r="130" spans="1:26" ht="20.25" customHeight="1">
      <c r="A130" s="362" t="s">
        <v>255</v>
      </c>
      <c r="B130" s="140"/>
      <c r="C130" s="140">
        <v>0</v>
      </c>
      <c r="D130" s="140">
        <v>0</v>
      </c>
      <c r="E130" s="140">
        <v>0</v>
      </c>
      <c r="F130" s="140">
        <v>0</v>
      </c>
      <c r="G130" s="140"/>
      <c r="H130" s="140">
        <v>0</v>
      </c>
      <c r="I130" s="140">
        <v>0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0">
        <v>0</v>
      </c>
      <c r="T130" s="140">
        <v>0</v>
      </c>
      <c r="U130" s="140">
        <v>0</v>
      </c>
      <c r="V130" s="140">
        <v>0</v>
      </c>
      <c r="W130" s="140">
        <v>0</v>
      </c>
      <c r="X130" s="140">
        <v>0</v>
      </c>
      <c r="Y130" s="140">
        <v>0</v>
      </c>
      <c r="Z130" s="135">
        <f>SUM(B130:Y130)</f>
        <v>0</v>
      </c>
    </row>
    <row r="131" spans="1:26" ht="20.25" customHeight="1">
      <c r="A131" s="363">
        <v>551000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45">
        <f>SUM(B131:Y131)</f>
        <v>0</v>
      </c>
    </row>
    <row r="132" spans="1:26" ht="20.25" customHeight="1">
      <c r="A132" s="351">
        <v>510100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45">
        <f>SUM(B132:Y132)</f>
        <v>0</v>
      </c>
    </row>
    <row r="133" spans="1:26" ht="20.25" customHeight="1">
      <c r="A133" s="351">
        <v>510200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45">
        <f>SUM(B133:Y133)</f>
        <v>0</v>
      </c>
    </row>
    <row r="134" spans="1:26" ht="20.25" customHeight="1">
      <c r="A134" s="364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55"/>
    </row>
    <row r="135" spans="1:26" ht="20.25" customHeight="1" thickBot="1">
      <c r="A135" s="357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46">
        <f>SUM(B135:Y135)</f>
        <v>0</v>
      </c>
    </row>
    <row r="136" spans="1:26" ht="20.25" customHeight="1">
      <c r="A136" s="356" t="s">
        <v>253</v>
      </c>
      <c r="B136" s="162">
        <f>SUM(B131:B135)</f>
        <v>0</v>
      </c>
      <c r="C136" s="162">
        <f t="shared" ref="C136:I136" si="29">SUM(C135)</f>
        <v>0</v>
      </c>
      <c r="D136" s="162">
        <f t="shared" si="29"/>
        <v>0</v>
      </c>
      <c r="E136" s="162">
        <f t="shared" si="29"/>
        <v>0</v>
      </c>
      <c r="F136" s="162">
        <f t="shared" si="29"/>
        <v>0</v>
      </c>
      <c r="G136" s="162">
        <f t="shared" si="29"/>
        <v>0</v>
      </c>
      <c r="H136" s="162">
        <f t="shared" si="29"/>
        <v>0</v>
      </c>
      <c r="I136" s="162">
        <f t="shared" si="29"/>
        <v>0</v>
      </c>
      <c r="J136" s="162">
        <f>SUM(J132:J135)</f>
        <v>0</v>
      </c>
      <c r="K136" s="162">
        <f>SUM(K135)</f>
        <v>0</v>
      </c>
      <c r="L136" s="162">
        <f>SUM(L135)</f>
        <v>0</v>
      </c>
      <c r="M136" s="162">
        <f>SUM(M135)</f>
        <v>0</v>
      </c>
      <c r="N136" s="162">
        <f>SUM(N131:N135)</f>
        <v>0</v>
      </c>
      <c r="O136" s="162">
        <f t="shared" ref="O136:Y136" si="30">SUM(O135)</f>
        <v>0</v>
      </c>
      <c r="P136" s="162">
        <f t="shared" si="30"/>
        <v>0</v>
      </c>
      <c r="Q136" s="162">
        <f t="shared" si="30"/>
        <v>0</v>
      </c>
      <c r="R136" s="162">
        <f t="shared" si="30"/>
        <v>0</v>
      </c>
      <c r="S136" s="162">
        <f t="shared" si="30"/>
        <v>0</v>
      </c>
      <c r="T136" s="162">
        <f t="shared" si="30"/>
        <v>0</v>
      </c>
      <c r="U136" s="162">
        <f t="shared" si="30"/>
        <v>0</v>
      </c>
      <c r="V136" s="162">
        <f t="shared" si="30"/>
        <v>0</v>
      </c>
      <c r="W136" s="162">
        <f t="shared" si="30"/>
        <v>0</v>
      </c>
      <c r="X136" s="162">
        <f t="shared" si="30"/>
        <v>0</v>
      </c>
      <c r="Y136" s="162">
        <f t="shared" si="30"/>
        <v>0</v>
      </c>
      <c r="Z136" s="142">
        <f>SUM(B136:Y136)</f>
        <v>0</v>
      </c>
    </row>
    <row r="137" spans="1:26" ht="20.25" customHeight="1" thickBot="1">
      <c r="A137" s="357" t="s">
        <v>254</v>
      </c>
      <c r="B137" s="163">
        <f t="shared" ref="B137:Z137" si="31">B130+B136</f>
        <v>0</v>
      </c>
      <c r="C137" s="163">
        <f t="shared" si="31"/>
        <v>0</v>
      </c>
      <c r="D137" s="163">
        <f t="shared" si="31"/>
        <v>0</v>
      </c>
      <c r="E137" s="163">
        <f t="shared" si="31"/>
        <v>0</v>
      </c>
      <c r="F137" s="163">
        <f t="shared" si="31"/>
        <v>0</v>
      </c>
      <c r="G137" s="163">
        <f t="shared" si="31"/>
        <v>0</v>
      </c>
      <c r="H137" s="163">
        <f t="shared" si="31"/>
        <v>0</v>
      </c>
      <c r="I137" s="163">
        <f t="shared" si="31"/>
        <v>0</v>
      </c>
      <c r="J137" s="163">
        <f t="shared" si="31"/>
        <v>0</v>
      </c>
      <c r="K137" s="163">
        <f t="shared" si="31"/>
        <v>0</v>
      </c>
      <c r="L137" s="163">
        <f t="shared" si="31"/>
        <v>0</v>
      </c>
      <c r="M137" s="163">
        <f t="shared" si="31"/>
        <v>0</v>
      </c>
      <c r="N137" s="163">
        <f t="shared" si="31"/>
        <v>0</v>
      </c>
      <c r="O137" s="163">
        <f t="shared" si="31"/>
        <v>0</v>
      </c>
      <c r="P137" s="163">
        <f t="shared" si="31"/>
        <v>0</v>
      </c>
      <c r="Q137" s="163">
        <f t="shared" si="31"/>
        <v>0</v>
      </c>
      <c r="R137" s="163">
        <f t="shared" si="31"/>
        <v>0</v>
      </c>
      <c r="S137" s="163">
        <f t="shared" si="31"/>
        <v>0</v>
      </c>
      <c r="T137" s="163">
        <f t="shared" si="31"/>
        <v>0</v>
      </c>
      <c r="U137" s="163">
        <f t="shared" si="31"/>
        <v>0</v>
      </c>
      <c r="V137" s="163">
        <f t="shared" si="31"/>
        <v>0</v>
      </c>
      <c r="W137" s="163">
        <f t="shared" si="31"/>
        <v>0</v>
      </c>
      <c r="X137" s="163">
        <f t="shared" si="31"/>
        <v>0</v>
      </c>
      <c r="Y137" s="163">
        <f t="shared" si="31"/>
        <v>0</v>
      </c>
      <c r="Z137" s="146">
        <f t="shared" si="31"/>
        <v>0</v>
      </c>
    </row>
    <row r="138" spans="1:26" ht="20.25" customHeight="1">
      <c r="A138" s="362" t="s">
        <v>255</v>
      </c>
      <c r="B138" s="140"/>
      <c r="C138" s="140">
        <v>0</v>
      </c>
      <c r="D138" s="140">
        <v>0</v>
      </c>
      <c r="E138" s="140">
        <v>0</v>
      </c>
      <c r="F138" s="140">
        <v>0</v>
      </c>
      <c r="G138" s="140">
        <v>852800</v>
      </c>
      <c r="H138" s="140"/>
      <c r="I138" s="140"/>
      <c r="J138" s="140"/>
      <c r="K138" s="140">
        <v>0</v>
      </c>
      <c r="L138" s="140">
        <v>0</v>
      </c>
      <c r="M138" s="140">
        <v>0</v>
      </c>
      <c r="N138" s="140">
        <v>0</v>
      </c>
      <c r="O138" s="140">
        <v>0</v>
      </c>
      <c r="P138" s="140">
        <v>0</v>
      </c>
      <c r="Q138" s="140">
        <v>0</v>
      </c>
      <c r="R138" s="140">
        <v>0</v>
      </c>
      <c r="S138" s="140">
        <v>0</v>
      </c>
      <c r="T138" s="140">
        <v>0</v>
      </c>
      <c r="U138" s="140">
        <v>0</v>
      </c>
      <c r="V138" s="140">
        <v>0</v>
      </c>
      <c r="W138" s="140">
        <v>0</v>
      </c>
      <c r="X138" s="140">
        <v>0</v>
      </c>
      <c r="Y138" s="140">
        <v>0</v>
      </c>
      <c r="Z138" s="164">
        <f>SUM(B138:Y138)</f>
        <v>852800</v>
      </c>
    </row>
    <row r="139" spans="1:26" ht="20.25" customHeight="1">
      <c r="A139" s="363">
        <v>560000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65"/>
      <c r="Z139" s="145">
        <f>SUM(B139:Y139)</f>
        <v>0</v>
      </c>
    </row>
    <row r="140" spans="1:26" ht="20.25" customHeight="1">
      <c r="A140" s="365">
        <v>610100</v>
      </c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5">
        <f>SUM(B140:Y140)</f>
        <v>0</v>
      </c>
    </row>
    <row r="141" spans="1:26" ht="20.25" customHeight="1">
      <c r="A141" s="166">
        <v>610200</v>
      </c>
      <c r="B141" s="138"/>
      <c r="C141" s="138"/>
      <c r="D141" s="138"/>
      <c r="E141" s="138"/>
      <c r="F141" s="138"/>
      <c r="G141" s="138">
        <v>0</v>
      </c>
      <c r="H141" s="138">
        <v>0</v>
      </c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5">
        <f>SUM(B141:Y141)</f>
        <v>0</v>
      </c>
    </row>
    <row r="142" spans="1:26" ht="20.25" customHeight="1" thickBot="1">
      <c r="A142" s="166">
        <v>610400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5">
        <f>SUM(B142:Y142)</f>
        <v>0</v>
      </c>
    </row>
    <row r="143" spans="1:26" ht="20.25" customHeight="1">
      <c r="A143" s="128" t="s">
        <v>253</v>
      </c>
      <c r="B143" s="140">
        <f t="shared" ref="B143:Z143" si="32">SUM(B139:B142)</f>
        <v>0</v>
      </c>
      <c r="C143" s="140">
        <f t="shared" si="32"/>
        <v>0</v>
      </c>
      <c r="D143" s="140">
        <f t="shared" si="32"/>
        <v>0</v>
      </c>
      <c r="E143" s="140">
        <f t="shared" si="32"/>
        <v>0</v>
      </c>
      <c r="F143" s="140">
        <f t="shared" si="32"/>
        <v>0</v>
      </c>
      <c r="G143" s="140">
        <f t="shared" si="32"/>
        <v>0</v>
      </c>
      <c r="H143" s="140">
        <f t="shared" si="32"/>
        <v>0</v>
      </c>
      <c r="I143" s="140">
        <f t="shared" si="32"/>
        <v>0</v>
      </c>
      <c r="J143" s="140">
        <f t="shared" si="32"/>
        <v>0</v>
      </c>
      <c r="K143" s="140">
        <f t="shared" si="32"/>
        <v>0</v>
      </c>
      <c r="L143" s="140">
        <f t="shared" si="32"/>
        <v>0</v>
      </c>
      <c r="M143" s="140">
        <f t="shared" si="32"/>
        <v>0</v>
      </c>
      <c r="N143" s="140">
        <f t="shared" si="32"/>
        <v>0</v>
      </c>
      <c r="O143" s="140">
        <f t="shared" si="32"/>
        <v>0</v>
      </c>
      <c r="P143" s="140">
        <f t="shared" si="32"/>
        <v>0</v>
      </c>
      <c r="Q143" s="140">
        <f t="shared" si="32"/>
        <v>0</v>
      </c>
      <c r="R143" s="140">
        <f t="shared" si="32"/>
        <v>0</v>
      </c>
      <c r="S143" s="140">
        <f t="shared" si="32"/>
        <v>0</v>
      </c>
      <c r="T143" s="140">
        <f t="shared" si="32"/>
        <v>0</v>
      </c>
      <c r="U143" s="140">
        <f t="shared" si="32"/>
        <v>0</v>
      </c>
      <c r="V143" s="140">
        <f t="shared" si="32"/>
        <v>0</v>
      </c>
      <c r="W143" s="140">
        <f t="shared" si="32"/>
        <v>0</v>
      </c>
      <c r="X143" s="140">
        <f t="shared" si="32"/>
        <v>0</v>
      </c>
      <c r="Y143" s="140">
        <f t="shared" si="32"/>
        <v>0</v>
      </c>
      <c r="Z143" s="142">
        <f t="shared" si="32"/>
        <v>0</v>
      </c>
    </row>
    <row r="144" spans="1:26" ht="20.25" customHeight="1" thickBot="1">
      <c r="A144" s="130" t="s">
        <v>254</v>
      </c>
      <c r="B144" s="139">
        <f t="shared" ref="B144:Y144" si="33">B138+B143</f>
        <v>0</v>
      </c>
      <c r="C144" s="139">
        <f t="shared" si="33"/>
        <v>0</v>
      </c>
      <c r="D144" s="139">
        <f t="shared" si="33"/>
        <v>0</v>
      </c>
      <c r="E144" s="139">
        <f t="shared" si="33"/>
        <v>0</v>
      </c>
      <c r="F144" s="139">
        <f t="shared" si="33"/>
        <v>0</v>
      </c>
      <c r="G144" s="139">
        <f t="shared" si="33"/>
        <v>852800</v>
      </c>
      <c r="H144" s="139">
        <f t="shared" si="33"/>
        <v>0</v>
      </c>
      <c r="I144" s="139">
        <f t="shared" si="33"/>
        <v>0</v>
      </c>
      <c r="J144" s="139">
        <f t="shared" si="33"/>
        <v>0</v>
      </c>
      <c r="K144" s="139">
        <f t="shared" si="33"/>
        <v>0</v>
      </c>
      <c r="L144" s="139">
        <f t="shared" si="33"/>
        <v>0</v>
      </c>
      <c r="M144" s="139">
        <f t="shared" si="33"/>
        <v>0</v>
      </c>
      <c r="N144" s="139">
        <f t="shared" si="33"/>
        <v>0</v>
      </c>
      <c r="O144" s="139">
        <f t="shared" si="33"/>
        <v>0</v>
      </c>
      <c r="P144" s="139">
        <f t="shared" si="33"/>
        <v>0</v>
      </c>
      <c r="Q144" s="139">
        <f t="shared" si="33"/>
        <v>0</v>
      </c>
      <c r="R144" s="139">
        <f t="shared" si="33"/>
        <v>0</v>
      </c>
      <c r="S144" s="139">
        <f t="shared" si="33"/>
        <v>0</v>
      </c>
      <c r="T144" s="139">
        <f t="shared" si="33"/>
        <v>0</v>
      </c>
      <c r="U144" s="139">
        <f t="shared" si="33"/>
        <v>0</v>
      </c>
      <c r="V144" s="139">
        <f t="shared" si="33"/>
        <v>0</v>
      </c>
      <c r="W144" s="139">
        <f t="shared" si="33"/>
        <v>0</v>
      </c>
      <c r="X144" s="139">
        <f t="shared" si="33"/>
        <v>0</v>
      </c>
      <c r="Y144" s="139">
        <f t="shared" si="33"/>
        <v>0</v>
      </c>
      <c r="Z144" s="146">
        <f>+Z138+Z143</f>
        <v>852800</v>
      </c>
    </row>
    <row r="145" spans="1:208" ht="20.25" customHeight="1">
      <c r="A145" s="128" t="s">
        <v>253</v>
      </c>
      <c r="B145" s="162">
        <f t="shared" ref="B145:Z145" si="34">B17+B26+B37+B56+B64+B80+B96+B106+B113+B136+B143</f>
        <v>572029.15000000014</v>
      </c>
      <c r="C145" s="162">
        <f t="shared" si="34"/>
        <v>88554</v>
      </c>
      <c r="D145" s="162">
        <f t="shared" si="34"/>
        <v>10335</v>
      </c>
      <c r="E145" s="162">
        <f t="shared" si="34"/>
        <v>126.26</v>
      </c>
      <c r="F145" s="162">
        <f t="shared" si="34"/>
        <v>321.95</v>
      </c>
      <c r="G145" s="162">
        <f t="shared" si="34"/>
        <v>28320</v>
      </c>
      <c r="H145" s="162">
        <f t="shared" si="34"/>
        <v>0</v>
      </c>
      <c r="I145" s="162">
        <f t="shared" si="34"/>
        <v>0</v>
      </c>
      <c r="J145" s="162">
        <f t="shared" si="34"/>
        <v>0</v>
      </c>
      <c r="K145" s="162">
        <f t="shared" si="34"/>
        <v>0</v>
      </c>
      <c r="L145" s="162">
        <f t="shared" si="34"/>
        <v>0</v>
      </c>
      <c r="M145" s="162">
        <f t="shared" si="34"/>
        <v>55466</v>
      </c>
      <c r="N145" s="162">
        <f t="shared" si="34"/>
        <v>0</v>
      </c>
      <c r="O145" s="162">
        <f t="shared" si="34"/>
        <v>0</v>
      </c>
      <c r="P145" s="162">
        <f t="shared" si="34"/>
        <v>0</v>
      </c>
      <c r="Q145" s="162">
        <f t="shared" si="34"/>
        <v>0</v>
      </c>
      <c r="R145" s="162">
        <f t="shared" si="34"/>
        <v>0</v>
      </c>
      <c r="S145" s="162">
        <f t="shared" si="34"/>
        <v>0</v>
      </c>
      <c r="T145" s="162">
        <f t="shared" si="34"/>
        <v>70000</v>
      </c>
      <c r="U145" s="162">
        <f t="shared" si="34"/>
        <v>0</v>
      </c>
      <c r="V145" s="162">
        <f t="shared" si="34"/>
        <v>0</v>
      </c>
      <c r="W145" s="162">
        <f t="shared" si="34"/>
        <v>0</v>
      </c>
      <c r="X145" s="162">
        <f t="shared" si="34"/>
        <v>50803.99</v>
      </c>
      <c r="Y145" s="162">
        <f t="shared" si="34"/>
        <v>17358</v>
      </c>
      <c r="Z145" s="142">
        <f t="shared" si="34"/>
        <v>893314.35000000009</v>
      </c>
    </row>
    <row r="146" spans="1:208" ht="20.25" customHeight="1" thickBot="1">
      <c r="A146" s="130" t="s">
        <v>254</v>
      </c>
      <c r="B146" s="167">
        <f t="shared" ref="B146:Z146" si="35">B18+B27+B38+B57+B65+B81+B97+B107+B114+B137+B144</f>
        <v>1579170.98</v>
      </c>
      <c r="C146" s="167">
        <f t="shared" si="35"/>
        <v>353784</v>
      </c>
      <c r="D146" s="167">
        <f t="shared" si="35"/>
        <v>17423</v>
      </c>
      <c r="E146" s="167">
        <f t="shared" si="35"/>
        <v>372.36</v>
      </c>
      <c r="F146" s="167">
        <f t="shared" si="35"/>
        <v>333609.40999999997</v>
      </c>
      <c r="G146" s="167">
        <f t="shared" si="35"/>
        <v>881120</v>
      </c>
      <c r="H146" s="167">
        <f t="shared" si="35"/>
        <v>0</v>
      </c>
      <c r="I146" s="167">
        <f t="shared" si="35"/>
        <v>0</v>
      </c>
      <c r="J146" s="167">
        <f t="shared" si="35"/>
        <v>0</v>
      </c>
      <c r="K146" s="167">
        <f t="shared" si="35"/>
        <v>0</v>
      </c>
      <c r="L146" s="167">
        <f t="shared" si="35"/>
        <v>0</v>
      </c>
      <c r="M146" s="167">
        <f t="shared" si="35"/>
        <v>209951</v>
      </c>
      <c r="N146" s="167">
        <f t="shared" si="35"/>
        <v>0</v>
      </c>
      <c r="O146" s="167">
        <f t="shared" si="35"/>
        <v>0</v>
      </c>
      <c r="P146" s="167">
        <f t="shared" si="35"/>
        <v>0</v>
      </c>
      <c r="Q146" s="167">
        <f t="shared" si="35"/>
        <v>0</v>
      </c>
      <c r="R146" s="167">
        <f t="shared" si="35"/>
        <v>20000</v>
      </c>
      <c r="S146" s="167">
        <f t="shared" si="35"/>
        <v>0</v>
      </c>
      <c r="T146" s="167">
        <f t="shared" si="35"/>
        <v>86720</v>
      </c>
      <c r="U146" s="167">
        <f t="shared" si="35"/>
        <v>0</v>
      </c>
      <c r="V146" s="167">
        <f t="shared" si="35"/>
        <v>0</v>
      </c>
      <c r="W146" s="167">
        <f t="shared" si="35"/>
        <v>0</v>
      </c>
      <c r="X146" s="167">
        <f t="shared" si="35"/>
        <v>203729.8</v>
      </c>
      <c r="Y146" s="167">
        <f t="shared" si="35"/>
        <v>253304</v>
      </c>
      <c r="Z146" s="168">
        <f t="shared" si="35"/>
        <v>3939184.5500000003</v>
      </c>
    </row>
    <row r="147" spans="1:208" ht="20.25" customHeight="1">
      <c r="H147" s="143"/>
    </row>
    <row r="150" spans="1:208" s="159" customFormat="1" ht="20.25" customHeight="1"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  <c r="GG150" s="127"/>
      <c r="GH150" s="127"/>
      <c r="GI150" s="127"/>
      <c r="GJ150" s="127"/>
      <c r="GK150" s="127"/>
      <c r="GL150" s="127"/>
      <c r="GM150" s="127"/>
      <c r="GN150" s="127"/>
      <c r="GO150" s="127"/>
      <c r="GP150" s="127"/>
      <c r="GQ150" s="127"/>
      <c r="GR150" s="127"/>
      <c r="GS150" s="127"/>
      <c r="GT150" s="127"/>
      <c r="GU150" s="127"/>
      <c r="GV150" s="127"/>
      <c r="GW150" s="127"/>
      <c r="GX150" s="127"/>
      <c r="GY150" s="127"/>
      <c r="GZ150" s="127"/>
    </row>
    <row r="151" spans="1:208" s="159" customFormat="1" ht="20.25" customHeight="1"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  <c r="GG151" s="127"/>
      <c r="GH151" s="127"/>
      <c r="GI151" s="127"/>
      <c r="GJ151" s="127"/>
      <c r="GK151" s="127"/>
      <c r="GL151" s="127"/>
      <c r="GM151" s="127"/>
      <c r="GN151" s="127"/>
      <c r="GO151" s="127"/>
      <c r="GP151" s="127"/>
      <c r="GQ151" s="127"/>
      <c r="GR151" s="127"/>
      <c r="GS151" s="127"/>
      <c r="GT151" s="127"/>
      <c r="GU151" s="127"/>
      <c r="GV151" s="127"/>
      <c r="GW151" s="127"/>
      <c r="GX151" s="127"/>
      <c r="GY151" s="127"/>
      <c r="GZ151" s="127"/>
    </row>
    <row r="152" spans="1:208" s="159" customFormat="1" ht="20.25" customHeight="1"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</row>
    <row r="153" spans="1:208" s="159" customFormat="1" ht="20.25" customHeight="1"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</row>
    <row r="154" spans="1:208" s="159" customFormat="1" ht="20.25" customHeight="1"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27"/>
      <c r="GU154" s="127"/>
      <c r="GV154" s="127"/>
      <c r="GW154" s="127"/>
      <c r="GX154" s="127"/>
      <c r="GY154" s="127"/>
      <c r="GZ154" s="127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ht="20.25" customHeight="1">
      <c r="A166" s="498" t="s">
        <v>213</v>
      </c>
      <c r="B166" s="498"/>
      <c r="C166" s="498"/>
      <c r="D166" s="498"/>
      <c r="E166" s="498"/>
      <c r="F166" s="498"/>
      <c r="G166" s="498"/>
      <c r="H166" s="498"/>
      <c r="I166" s="498"/>
      <c r="J166" s="498"/>
      <c r="K166" s="498"/>
      <c r="L166" s="498"/>
      <c r="M166" s="498"/>
      <c r="N166" s="498"/>
      <c r="O166" s="498"/>
      <c r="P166" s="498"/>
      <c r="Q166" s="498"/>
      <c r="R166" s="498"/>
      <c r="S166" s="498"/>
      <c r="T166" s="498"/>
      <c r="U166" s="498"/>
      <c r="V166" s="498"/>
      <c r="W166" s="498"/>
      <c r="X166" s="498"/>
      <c r="Y166" s="498"/>
      <c r="Z166" s="498"/>
    </row>
    <row r="167" spans="1:208" ht="20.25" customHeight="1">
      <c r="A167" s="498" t="s">
        <v>256</v>
      </c>
      <c r="B167" s="498"/>
      <c r="C167" s="498"/>
      <c r="D167" s="498"/>
      <c r="E167" s="498"/>
      <c r="F167" s="498"/>
      <c r="G167" s="498"/>
      <c r="H167" s="498"/>
      <c r="I167" s="498"/>
      <c r="J167" s="498"/>
      <c r="K167" s="498"/>
      <c r="L167" s="498"/>
      <c r="M167" s="498"/>
      <c r="N167" s="498"/>
      <c r="O167" s="498"/>
      <c r="P167" s="498"/>
      <c r="Q167" s="498"/>
      <c r="R167" s="498"/>
      <c r="S167" s="498"/>
      <c r="T167" s="498"/>
      <c r="U167" s="498"/>
      <c r="V167" s="498"/>
      <c r="W167" s="498"/>
      <c r="X167" s="498"/>
      <c r="Y167" s="498"/>
      <c r="Z167" s="498"/>
    </row>
    <row r="168" spans="1:208" ht="20.25" customHeight="1" thickBot="1">
      <c r="A168" s="499" t="str">
        <f>A45</f>
        <v>วันที่  31  มกราคม  2556</v>
      </c>
      <c r="B168" s="499"/>
      <c r="C168" s="499"/>
      <c r="D168" s="499"/>
      <c r="E168" s="499"/>
      <c r="F168" s="499"/>
      <c r="G168" s="499"/>
      <c r="H168" s="499"/>
      <c r="I168" s="499"/>
      <c r="J168" s="499"/>
      <c r="K168" s="499"/>
      <c r="L168" s="499"/>
      <c r="M168" s="499"/>
      <c r="N168" s="499"/>
      <c r="O168" s="499"/>
      <c r="P168" s="499"/>
      <c r="Q168" s="499"/>
      <c r="R168" s="499"/>
      <c r="S168" s="499"/>
      <c r="T168" s="499"/>
      <c r="U168" s="499"/>
      <c r="V168" s="499"/>
      <c r="W168" s="499"/>
      <c r="X168" s="499"/>
      <c r="Y168" s="499"/>
      <c r="Z168" s="499"/>
    </row>
    <row r="169" spans="1:208" ht="20.25" customHeight="1">
      <c r="A169" s="128" t="s">
        <v>215</v>
      </c>
      <c r="B169" s="500" t="s">
        <v>216</v>
      </c>
      <c r="C169" s="500"/>
      <c r="D169" s="500" t="s">
        <v>217</v>
      </c>
      <c r="E169" s="500"/>
      <c r="F169" s="500" t="s">
        <v>218</v>
      </c>
      <c r="G169" s="500"/>
      <c r="H169" s="500"/>
      <c r="I169" s="500" t="s">
        <v>219</v>
      </c>
      <c r="J169" s="500"/>
      <c r="K169" s="500" t="s">
        <v>220</v>
      </c>
      <c r="L169" s="500"/>
      <c r="M169" s="501" t="s">
        <v>221</v>
      </c>
      <c r="N169" s="502"/>
      <c r="O169" s="503"/>
      <c r="P169" s="500" t="s">
        <v>222</v>
      </c>
      <c r="Q169" s="500"/>
      <c r="R169" s="500" t="s">
        <v>223</v>
      </c>
      <c r="S169" s="500"/>
      <c r="T169" s="500"/>
      <c r="U169" s="169" t="s">
        <v>224</v>
      </c>
      <c r="V169" s="500" t="s">
        <v>225</v>
      </c>
      <c r="W169" s="500"/>
      <c r="X169" s="169" t="s">
        <v>226</v>
      </c>
      <c r="Y169" s="169" t="s">
        <v>227</v>
      </c>
      <c r="Z169" s="504" t="s">
        <v>56</v>
      </c>
    </row>
    <row r="170" spans="1:208" ht="20.25" customHeight="1" thickBot="1">
      <c r="A170" s="130" t="s">
        <v>228</v>
      </c>
      <c r="B170" s="131" t="s">
        <v>229</v>
      </c>
      <c r="C170" s="131" t="s">
        <v>230</v>
      </c>
      <c r="D170" s="131" t="s">
        <v>231</v>
      </c>
      <c r="E170" s="131" t="s">
        <v>232</v>
      </c>
      <c r="F170" s="131" t="s">
        <v>233</v>
      </c>
      <c r="G170" s="131" t="s">
        <v>234</v>
      </c>
      <c r="H170" s="131" t="s">
        <v>235</v>
      </c>
      <c r="I170" s="131" t="s">
        <v>236</v>
      </c>
      <c r="J170" s="131" t="s">
        <v>237</v>
      </c>
      <c r="K170" s="131" t="s">
        <v>238</v>
      </c>
      <c r="L170" s="131" t="s">
        <v>239</v>
      </c>
      <c r="M170" s="132" t="s">
        <v>240</v>
      </c>
      <c r="N170" s="131" t="s">
        <v>241</v>
      </c>
      <c r="O170" s="131" t="s">
        <v>242</v>
      </c>
      <c r="P170" s="131" t="s">
        <v>243</v>
      </c>
      <c r="Q170" s="131" t="s">
        <v>244</v>
      </c>
      <c r="R170" s="131" t="s">
        <v>245</v>
      </c>
      <c r="S170" s="131" t="s">
        <v>246</v>
      </c>
      <c r="T170" s="131" t="s">
        <v>247</v>
      </c>
      <c r="U170" s="131" t="s">
        <v>248</v>
      </c>
      <c r="V170" s="131" t="s">
        <v>249</v>
      </c>
      <c r="W170" s="131" t="s">
        <v>250</v>
      </c>
      <c r="X170" s="131" t="s">
        <v>251</v>
      </c>
      <c r="Y170" s="131" t="s">
        <v>252</v>
      </c>
      <c r="Z170" s="505"/>
    </row>
    <row r="171" spans="1:208" ht="20.25" customHeight="1">
      <c r="A171" s="160" t="s">
        <v>255</v>
      </c>
      <c r="B171" s="140"/>
      <c r="C171" s="140">
        <v>0</v>
      </c>
      <c r="D171" s="140">
        <v>0</v>
      </c>
      <c r="E171" s="140">
        <v>0</v>
      </c>
      <c r="F171" s="140">
        <v>0</v>
      </c>
      <c r="G171" s="140"/>
      <c r="H171" s="140">
        <v>0</v>
      </c>
      <c r="I171" s="140">
        <v>0</v>
      </c>
      <c r="J171" s="140">
        <v>0</v>
      </c>
      <c r="K171" s="140">
        <v>0</v>
      </c>
      <c r="L171" s="140">
        <v>0</v>
      </c>
      <c r="M171" s="140">
        <v>898900</v>
      </c>
      <c r="N171" s="140">
        <v>0</v>
      </c>
      <c r="O171" s="140">
        <v>0</v>
      </c>
      <c r="P171" s="140">
        <v>0</v>
      </c>
      <c r="Q171" s="140">
        <v>0</v>
      </c>
      <c r="R171" s="140">
        <v>0</v>
      </c>
      <c r="S171" s="140">
        <v>0</v>
      </c>
      <c r="T171" s="140">
        <v>0</v>
      </c>
      <c r="U171" s="140">
        <v>0</v>
      </c>
      <c r="V171" s="140">
        <v>0</v>
      </c>
      <c r="W171" s="140">
        <v>0</v>
      </c>
      <c r="X171" s="140">
        <v>0</v>
      </c>
      <c r="Y171" s="140">
        <v>0</v>
      </c>
      <c r="Z171" s="135">
        <f>SUM(B171:Y171)</f>
        <v>898900</v>
      </c>
    </row>
    <row r="172" spans="1:208" ht="20.25" customHeight="1">
      <c r="A172" s="161">
        <v>542000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45">
        <f>SUM(B172:Y172)</f>
        <v>0</v>
      </c>
    </row>
    <row r="173" spans="1:208" ht="20.25" customHeight="1">
      <c r="A173" s="137">
        <v>420900</v>
      </c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>
        <v>652000</v>
      </c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45">
        <f>SUM(B173:Y173)</f>
        <v>652000</v>
      </c>
    </row>
    <row r="174" spans="1:208" ht="20.25" customHeight="1">
      <c r="A174" s="137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45">
        <f>SUM(B174:Y174)</f>
        <v>0</v>
      </c>
    </row>
    <row r="175" spans="1:208" ht="20.25" customHeight="1">
      <c r="A175" s="147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55"/>
    </row>
    <row r="176" spans="1:208" ht="20.25" customHeight="1" thickBot="1">
      <c r="A176" s="130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46">
        <f>SUM(B176:Y176)</f>
        <v>0</v>
      </c>
    </row>
    <row r="177" spans="1:26" ht="20.25" customHeight="1">
      <c r="A177" s="128" t="s">
        <v>253</v>
      </c>
      <c r="B177" s="162">
        <f>SUM(B172:B176)</f>
        <v>0</v>
      </c>
      <c r="C177" s="162">
        <f t="shared" ref="C177:I177" si="36">SUM(C176)</f>
        <v>0</v>
      </c>
      <c r="D177" s="162">
        <f t="shared" si="36"/>
        <v>0</v>
      </c>
      <c r="E177" s="162">
        <f t="shared" si="36"/>
        <v>0</v>
      </c>
      <c r="F177" s="162">
        <f t="shared" si="36"/>
        <v>0</v>
      </c>
      <c r="G177" s="162">
        <f t="shared" si="36"/>
        <v>0</v>
      </c>
      <c r="H177" s="162">
        <f t="shared" si="36"/>
        <v>0</v>
      </c>
      <c r="I177" s="162">
        <f t="shared" si="36"/>
        <v>0</v>
      </c>
      <c r="J177" s="162">
        <f>SUM(J173:J176)</f>
        <v>0</v>
      </c>
      <c r="K177" s="162">
        <f>SUM(K176)</f>
        <v>0</v>
      </c>
      <c r="L177" s="162">
        <f>SUM(L176)</f>
        <v>0</v>
      </c>
      <c r="M177" s="162">
        <f>SUM(M172:M176)</f>
        <v>652000</v>
      </c>
      <c r="N177" s="162">
        <f>SUM(N172:N176)</f>
        <v>0</v>
      </c>
      <c r="O177" s="162">
        <f t="shared" ref="O177:Y177" si="37">SUM(O176)</f>
        <v>0</v>
      </c>
      <c r="P177" s="162">
        <f t="shared" si="37"/>
        <v>0</v>
      </c>
      <c r="Q177" s="162">
        <f t="shared" si="37"/>
        <v>0</v>
      </c>
      <c r="R177" s="162">
        <f t="shared" si="37"/>
        <v>0</v>
      </c>
      <c r="S177" s="162">
        <f t="shared" si="37"/>
        <v>0</v>
      </c>
      <c r="T177" s="162">
        <f t="shared" si="37"/>
        <v>0</v>
      </c>
      <c r="U177" s="162">
        <f t="shared" si="37"/>
        <v>0</v>
      </c>
      <c r="V177" s="162">
        <f t="shared" si="37"/>
        <v>0</v>
      </c>
      <c r="W177" s="162">
        <f t="shared" si="37"/>
        <v>0</v>
      </c>
      <c r="X177" s="162">
        <f t="shared" si="37"/>
        <v>0</v>
      </c>
      <c r="Y177" s="162">
        <f t="shared" si="37"/>
        <v>0</v>
      </c>
      <c r="Z177" s="142">
        <f>SUM(B177:Y177)</f>
        <v>652000</v>
      </c>
    </row>
    <row r="178" spans="1:26" ht="20.25" customHeight="1" thickBot="1">
      <c r="A178" s="130" t="s">
        <v>254</v>
      </c>
      <c r="B178" s="163">
        <f t="shared" ref="B178:Z178" si="38">B171+B177</f>
        <v>0</v>
      </c>
      <c r="C178" s="163">
        <f t="shared" si="38"/>
        <v>0</v>
      </c>
      <c r="D178" s="163">
        <f t="shared" si="38"/>
        <v>0</v>
      </c>
      <c r="E178" s="163">
        <f t="shared" si="38"/>
        <v>0</v>
      </c>
      <c r="F178" s="163">
        <f t="shared" si="38"/>
        <v>0</v>
      </c>
      <c r="G178" s="163">
        <f t="shared" si="38"/>
        <v>0</v>
      </c>
      <c r="H178" s="163">
        <f t="shared" si="38"/>
        <v>0</v>
      </c>
      <c r="I178" s="163">
        <f t="shared" si="38"/>
        <v>0</v>
      </c>
      <c r="J178" s="163">
        <f t="shared" si="38"/>
        <v>0</v>
      </c>
      <c r="K178" s="163">
        <f t="shared" si="38"/>
        <v>0</v>
      </c>
      <c r="L178" s="163">
        <f t="shared" si="38"/>
        <v>0</v>
      </c>
      <c r="M178" s="163">
        <f t="shared" si="38"/>
        <v>1550900</v>
      </c>
      <c r="N178" s="163">
        <f t="shared" si="38"/>
        <v>0</v>
      </c>
      <c r="O178" s="163">
        <f t="shared" si="38"/>
        <v>0</v>
      </c>
      <c r="P178" s="163">
        <f t="shared" si="38"/>
        <v>0</v>
      </c>
      <c r="Q178" s="163">
        <f t="shared" si="38"/>
        <v>0</v>
      </c>
      <c r="R178" s="163">
        <f t="shared" si="38"/>
        <v>0</v>
      </c>
      <c r="S178" s="163">
        <f t="shared" si="38"/>
        <v>0</v>
      </c>
      <c r="T178" s="163">
        <f t="shared" si="38"/>
        <v>0</v>
      </c>
      <c r="U178" s="163">
        <f t="shared" si="38"/>
        <v>0</v>
      </c>
      <c r="V178" s="163">
        <f t="shared" si="38"/>
        <v>0</v>
      </c>
      <c r="W178" s="163">
        <f t="shared" si="38"/>
        <v>0</v>
      </c>
      <c r="X178" s="163">
        <f t="shared" si="38"/>
        <v>0</v>
      </c>
      <c r="Y178" s="163">
        <f t="shared" si="38"/>
        <v>0</v>
      </c>
      <c r="Z178" s="146">
        <f t="shared" si="38"/>
        <v>1550900</v>
      </c>
    </row>
    <row r="179" spans="1:26" ht="20.25" customHeight="1">
      <c r="A179" s="160" t="s">
        <v>255</v>
      </c>
      <c r="B179" s="140"/>
      <c r="C179" s="140">
        <v>0</v>
      </c>
      <c r="D179" s="140">
        <v>0</v>
      </c>
      <c r="E179" s="140">
        <v>0</v>
      </c>
      <c r="F179" s="140">
        <v>0</v>
      </c>
      <c r="G179" s="140"/>
      <c r="H179" s="140"/>
      <c r="I179" s="140"/>
      <c r="J179" s="140"/>
      <c r="K179" s="140">
        <v>0</v>
      </c>
      <c r="L179" s="140">
        <v>0</v>
      </c>
      <c r="M179" s="140">
        <v>0</v>
      </c>
      <c r="N179" s="140">
        <v>0</v>
      </c>
      <c r="O179" s="140">
        <v>0</v>
      </c>
      <c r="P179" s="140">
        <v>0</v>
      </c>
      <c r="Q179" s="140">
        <v>0</v>
      </c>
      <c r="R179" s="140">
        <v>0</v>
      </c>
      <c r="S179" s="140">
        <v>0</v>
      </c>
      <c r="T179" s="140">
        <v>0</v>
      </c>
      <c r="U179" s="140">
        <v>0</v>
      </c>
      <c r="V179" s="140">
        <v>0</v>
      </c>
      <c r="W179" s="140">
        <v>0</v>
      </c>
      <c r="X179" s="140">
        <v>0</v>
      </c>
      <c r="Y179" s="140">
        <v>0</v>
      </c>
      <c r="Z179" s="164">
        <f>SUM(B179:Y179)</f>
        <v>0</v>
      </c>
    </row>
    <row r="180" spans="1:26" ht="20.25" customHeight="1">
      <c r="A180" s="161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65"/>
      <c r="Z180" s="145">
        <f>SUM(B180:Y180)</f>
        <v>0</v>
      </c>
    </row>
    <row r="181" spans="1:26" ht="20.25" customHeight="1">
      <c r="A181" s="166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5">
        <f>SUM(B181:Y181)</f>
        <v>0</v>
      </c>
    </row>
    <row r="182" spans="1:26" ht="20.25" customHeight="1">
      <c r="A182" s="166"/>
      <c r="B182" s="138"/>
      <c r="C182" s="138"/>
      <c r="D182" s="138"/>
      <c r="E182" s="138"/>
      <c r="F182" s="138"/>
      <c r="G182" s="138"/>
      <c r="H182" s="138">
        <v>0</v>
      </c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5">
        <f>SUM(B182:Y182)</f>
        <v>0</v>
      </c>
    </row>
    <row r="183" spans="1:26" ht="20.25" customHeight="1" thickBot="1">
      <c r="A183" s="166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5">
        <f>SUM(B183:Y183)</f>
        <v>0</v>
      </c>
    </row>
    <row r="184" spans="1:26" ht="20.25" customHeight="1">
      <c r="A184" s="128" t="s">
        <v>253</v>
      </c>
      <c r="B184" s="140">
        <f t="shared" ref="B184:Z184" si="39">SUM(B180:B183)</f>
        <v>0</v>
      </c>
      <c r="C184" s="140">
        <f t="shared" si="39"/>
        <v>0</v>
      </c>
      <c r="D184" s="140">
        <f t="shared" si="39"/>
        <v>0</v>
      </c>
      <c r="E184" s="140">
        <f t="shared" si="39"/>
        <v>0</v>
      </c>
      <c r="F184" s="140">
        <f t="shared" si="39"/>
        <v>0</v>
      </c>
      <c r="G184" s="140">
        <f t="shared" si="39"/>
        <v>0</v>
      </c>
      <c r="H184" s="140">
        <f t="shared" si="39"/>
        <v>0</v>
      </c>
      <c r="I184" s="140">
        <f t="shared" si="39"/>
        <v>0</v>
      </c>
      <c r="J184" s="140">
        <f t="shared" si="39"/>
        <v>0</v>
      </c>
      <c r="K184" s="140">
        <f t="shared" si="39"/>
        <v>0</v>
      </c>
      <c r="L184" s="140">
        <f t="shared" si="39"/>
        <v>0</v>
      </c>
      <c r="M184" s="140">
        <f t="shared" si="39"/>
        <v>0</v>
      </c>
      <c r="N184" s="140">
        <f t="shared" si="39"/>
        <v>0</v>
      </c>
      <c r="O184" s="140">
        <f t="shared" si="39"/>
        <v>0</v>
      </c>
      <c r="P184" s="140">
        <f t="shared" si="39"/>
        <v>0</v>
      </c>
      <c r="Q184" s="140">
        <f t="shared" si="39"/>
        <v>0</v>
      </c>
      <c r="R184" s="140">
        <f t="shared" si="39"/>
        <v>0</v>
      </c>
      <c r="S184" s="140">
        <f t="shared" si="39"/>
        <v>0</v>
      </c>
      <c r="T184" s="140">
        <f t="shared" si="39"/>
        <v>0</v>
      </c>
      <c r="U184" s="140">
        <f t="shared" si="39"/>
        <v>0</v>
      </c>
      <c r="V184" s="140">
        <f t="shared" si="39"/>
        <v>0</v>
      </c>
      <c r="W184" s="140">
        <f t="shared" si="39"/>
        <v>0</v>
      </c>
      <c r="X184" s="140">
        <f t="shared" si="39"/>
        <v>0</v>
      </c>
      <c r="Y184" s="140">
        <f t="shared" si="39"/>
        <v>0</v>
      </c>
      <c r="Z184" s="142">
        <f t="shared" si="39"/>
        <v>0</v>
      </c>
    </row>
    <row r="185" spans="1:26" ht="20.25" customHeight="1" thickBot="1">
      <c r="A185" s="130" t="s">
        <v>254</v>
      </c>
      <c r="B185" s="139">
        <f t="shared" ref="B185:Y185" si="40">B179+B184</f>
        <v>0</v>
      </c>
      <c r="C185" s="139">
        <f t="shared" si="40"/>
        <v>0</v>
      </c>
      <c r="D185" s="139">
        <f t="shared" si="40"/>
        <v>0</v>
      </c>
      <c r="E185" s="139">
        <f t="shared" si="40"/>
        <v>0</v>
      </c>
      <c r="F185" s="139">
        <f t="shared" si="40"/>
        <v>0</v>
      </c>
      <c r="G185" s="139">
        <f t="shared" si="40"/>
        <v>0</v>
      </c>
      <c r="H185" s="139">
        <f t="shared" si="40"/>
        <v>0</v>
      </c>
      <c r="I185" s="139">
        <f t="shared" si="40"/>
        <v>0</v>
      </c>
      <c r="J185" s="139">
        <f t="shared" si="40"/>
        <v>0</v>
      </c>
      <c r="K185" s="139">
        <f t="shared" si="40"/>
        <v>0</v>
      </c>
      <c r="L185" s="139">
        <f t="shared" si="40"/>
        <v>0</v>
      </c>
      <c r="M185" s="139">
        <f t="shared" si="40"/>
        <v>0</v>
      </c>
      <c r="N185" s="139">
        <f t="shared" si="40"/>
        <v>0</v>
      </c>
      <c r="O185" s="139">
        <f t="shared" si="40"/>
        <v>0</v>
      </c>
      <c r="P185" s="139">
        <f t="shared" si="40"/>
        <v>0</v>
      </c>
      <c r="Q185" s="139">
        <f t="shared" si="40"/>
        <v>0</v>
      </c>
      <c r="R185" s="139">
        <f t="shared" si="40"/>
        <v>0</v>
      </c>
      <c r="S185" s="139">
        <f t="shared" si="40"/>
        <v>0</v>
      </c>
      <c r="T185" s="139">
        <f t="shared" si="40"/>
        <v>0</v>
      </c>
      <c r="U185" s="139">
        <f t="shared" si="40"/>
        <v>0</v>
      </c>
      <c r="V185" s="139">
        <f t="shared" si="40"/>
        <v>0</v>
      </c>
      <c r="W185" s="139">
        <f t="shared" si="40"/>
        <v>0</v>
      </c>
      <c r="X185" s="139">
        <f t="shared" si="40"/>
        <v>0</v>
      </c>
      <c r="Y185" s="139">
        <f t="shared" si="40"/>
        <v>0</v>
      </c>
      <c r="Z185" s="146">
        <f>+Z179+Z184</f>
        <v>0</v>
      </c>
    </row>
    <row r="186" spans="1:26" ht="20.25" customHeight="1" thickBot="1">
      <c r="A186" s="128" t="s">
        <v>253</v>
      </c>
      <c r="B186" s="162">
        <f>B178+B185</f>
        <v>0</v>
      </c>
      <c r="C186" s="162">
        <f t="shared" ref="C186:M186" si="41">C178+C185</f>
        <v>0</v>
      </c>
      <c r="D186" s="162">
        <f t="shared" si="41"/>
        <v>0</v>
      </c>
      <c r="E186" s="162">
        <f t="shared" si="41"/>
        <v>0</v>
      </c>
      <c r="F186" s="162">
        <f t="shared" si="41"/>
        <v>0</v>
      </c>
      <c r="G186" s="162">
        <f t="shared" si="41"/>
        <v>0</v>
      </c>
      <c r="H186" s="162">
        <f t="shared" si="41"/>
        <v>0</v>
      </c>
      <c r="I186" s="162">
        <f t="shared" si="41"/>
        <v>0</v>
      </c>
      <c r="J186" s="162">
        <f t="shared" si="41"/>
        <v>0</v>
      </c>
      <c r="K186" s="162">
        <f t="shared" si="41"/>
        <v>0</v>
      </c>
      <c r="L186" s="162">
        <f t="shared" si="41"/>
        <v>0</v>
      </c>
      <c r="M186" s="162">
        <f t="shared" si="41"/>
        <v>1550900</v>
      </c>
      <c r="N186" s="162">
        <f>N178+N185</f>
        <v>0</v>
      </c>
      <c r="O186" s="162">
        <f t="shared" ref="O186" si="42">O178+O185</f>
        <v>0</v>
      </c>
      <c r="P186" s="162">
        <f t="shared" ref="P186" si="43">P178+P185</f>
        <v>0</v>
      </c>
      <c r="Q186" s="162">
        <f t="shared" ref="Q186" si="44">Q178+Q185</f>
        <v>0</v>
      </c>
      <c r="R186" s="162">
        <f t="shared" ref="R186" si="45">R178+R185</f>
        <v>0</v>
      </c>
      <c r="S186" s="162">
        <f t="shared" ref="S186" si="46">S178+S185</f>
        <v>0</v>
      </c>
      <c r="T186" s="162">
        <f t="shared" ref="T186" si="47">T178+T185</f>
        <v>0</v>
      </c>
      <c r="U186" s="162">
        <f t="shared" ref="U186" si="48">U178+U185</f>
        <v>0</v>
      </c>
      <c r="V186" s="162">
        <f t="shared" ref="V186" si="49">V178+V185</f>
        <v>0</v>
      </c>
      <c r="W186" s="162">
        <f t="shared" ref="W186" si="50">W178+W185</f>
        <v>0</v>
      </c>
      <c r="X186" s="162">
        <f t="shared" ref="X186" si="51">X178+X185</f>
        <v>0</v>
      </c>
      <c r="Y186" s="162">
        <f>Y178+Y185</f>
        <v>0</v>
      </c>
      <c r="Z186" s="162">
        <f t="shared" ref="Z186:Z187" si="52">Z178+Z185</f>
        <v>1550900</v>
      </c>
    </row>
    <row r="187" spans="1:26" ht="20.25" customHeight="1" thickBot="1">
      <c r="A187" s="130" t="s">
        <v>254</v>
      </c>
      <c r="B187" s="167">
        <f>B178+B185</f>
        <v>0</v>
      </c>
      <c r="C187" s="167">
        <f t="shared" ref="C187:Y187" si="53">C59+C68+C79+C98+C106+C120+C138+C148+C157+C178+C185</f>
        <v>0</v>
      </c>
      <c r="D187" s="167">
        <f t="shared" si="53"/>
        <v>0</v>
      </c>
      <c r="E187" s="167">
        <f t="shared" si="53"/>
        <v>0</v>
      </c>
      <c r="F187" s="167">
        <f t="shared" si="53"/>
        <v>0</v>
      </c>
      <c r="G187" s="167">
        <v>0</v>
      </c>
      <c r="H187" s="167">
        <f t="shared" si="53"/>
        <v>0</v>
      </c>
      <c r="I187" s="167">
        <f t="shared" si="53"/>
        <v>0</v>
      </c>
      <c r="J187" s="167">
        <f t="shared" si="53"/>
        <v>0</v>
      </c>
      <c r="K187" s="167">
        <f t="shared" si="53"/>
        <v>0</v>
      </c>
      <c r="L187" s="167">
        <f t="shared" si="53"/>
        <v>0</v>
      </c>
      <c r="M187" s="167">
        <f t="shared" si="53"/>
        <v>1550900</v>
      </c>
      <c r="N187" s="167">
        <f t="shared" si="53"/>
        <v>0</v>
      </c>
      <c r="O187" s="167">
        <f t="shared" si="53"/>
        <v>0</v>
      </c>
      <c r="P187" s="167">
        <f t="shared" si="53"/>
        <v>0</v>
      </c>
      <c r="Q187" s="167">
        <f t="shared" si="53"/>
        <v>0</v>
      </c>
      <c r="R187" s="167">
        <f t="shared" si="53"/>
        <v>0</v>
      </c>
      <c r="S187" s="167">
        <f t="shared" si="53"/>
        <v>0</v>
      </c>
      <c r="T187" s="167">
        <f t="shared" si="53"/>
        <v>0</v>
      </c>
      <c r="U187" s="167">
        <f t="shared" si="53"/>
        <v>0</v>
      </c>
      <c r="V187" s="167">
        <f t="shared" si="53"/>
        <v>0</v>
      </c>
      <c r="W187" s="167">
        <f t="shared" si="53"/>
        <v>0</v>
      </c>
      <c r="X187" s="167">
        <f t="shared" si="53"/>
        <v>0</v>
      </c>
      <c r="Y187" s="167">
        <f t="shared" si="53"/>
        <v>0</v>
      </c>
      <c r="Z187" s="162">
        <f t="shared" si="52"/>
        <v>1550900</v>
      </c>
    </row>
  </sheetData>
  <mergeCells count="65">
    <mergeCell ref="A45:Z45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3:Z43"/>
    <mergeCell ref="A44:Z44"/>
    <mergeCell ref="A85:Z85"/>
    <mergeCell ref="B46:C46"/>
    <mergeCell ref="D46:E46"/>
    <mergeCell ref="F46:H46"/>
    <mergeCell ref="I46:J46"/>
    <mergeCell ref="K46:L46"/>
    <mergeCell ref="M46:O46"/>
    <mergeCell ref="P46:Q46"/>
    <mergeCell ref="R46:T46"/>
    <mergeCell ref="V46:W46"/>
    <mergeCell ref="Z46:Z47"/>
    <mergeCell ref="A84:Z84"/>
    <mergeCell ref="A86:Z86"/>
    <mergeCell ref="B87:C87"/>
    <mergeCell ref="D87:E87"/>
    <mergeCell ref="F87:H87"/>
    <mergeCell ref="I87:J87"/>
    <mergeCell ref="K87:L87"/>
    <mergeCell ref="M87:O87"/>
    <mergeCell ref="P87:Q87"/>
    <mergeCell ref="R87:T87"/>
    <mergeCell ref="V87:W87"/>
    <mergeCell ref="P128:Q128"/>
    <mergeCell ref="R128:T128"/>
    <mergeCell ref="V128:W128"/>
    <mergeCell ref="Z128:Z129"/>
    <mergeCell ref="Z87:Z88"/>
    <mergeCell ref="A125:Z125"/>
    <mergeCell ref="A126:Z126"/>
    <mergeCell ref="A127:Z127"/>
    <mergeCell ref="B128:C128"/>
    <mergeCell ref="D128:E128"/>
    <mergeCell ref="F128:H128"/>
    <mergeCell ref="I128:J128"/>
    <mergeCell ref="K128:L128"/>
    <mergeCell ref="M128:O128"/>
    <mergeCell ref="A166:Z166"/>
    <mergeCell ref="A167:Z167"/>
    <mergeCell ref="A168:Z168"/>
    <mergeCell ref="B169:C169"/>
    <mergeCell ref="D169:E169"/>
    <mergeCell ref="F169:H169"/>
    <mergeCell ref="I169:J169"/>
    <mergeCell ref="K169:L169"/>
    <mergeCell ref="M169:O169"/>
    <mergeCell ref="P169:Q169"/>
    <mergeCell ref="R169:T169"/>
    <mergeCell ref="V169:W169"/>
    <mergeCell ref="Z169:Z170"/>
  </mergeCells>
  <pageMargins left="0.17" right="0.17" top="0.43307086614173229" bottom="0.56000000000000005" header="0.31496062992125984" footer="0.31496062992125984"/>
  <pageSetup paperSize="9" scale="6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workbookViewId="0">
      <selection activeCell="G7" sqref="G7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0" t="s">
        <v>306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</row>
    <row r="2" spans="1:26">
      <c r="A2" s="520" t="s">
        <v>213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</row>
    <row r="3" spans="1:26">
      <c r="A3" s="520" t="s">
        <v>307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</row>
    <row r="4" spans="1:26">
      <c r="A4" s="520" t="s">
        <v>308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</row>
    <row r="6" spans="1:26">
      <c r="A6" s="238"/>
      <c r="B6" s="239"/>
      <c r="C6" s="240" t="s">
        <v>227</v>
      </c>
      <c r="D6" s="513" t="s">
        <v>216</v>
      </c>
      <c r="E6" s="514"/>
      <c r="F6" s="513" t="s">
        <v>217</v>
      </c>
      <c r="G6" s="514"/>
      <c r="H6" s="513" t="s">
        <v>218</v>
      </c>
      <c r="I6" s="514"/>
      <c r="J6" s="513" t="s">
        <v>219</v>
      </c>
      <c r="K6" s="514"/>
      <c r="L6" s="513" t="s">
        <v>220</v>
      </c>
      <c r="M6" s="514"/>
      <c r="N6" s="513" t="s">
        <v>221</v>
      </c>
      <c r="O6" s="515"/>
      <c r="P6" s="513" t="s">
        <v>222</v>
      </c>
      <c r="Q6" s="514"/>
      <c r="R6" s="513" t="s">
        <v>223</v>
      </c>
      <c r="S6" s="515"/>
      <c r="T6" s="240" t="s">
        <v>309</v>
      </c>
      <c r="U6" s="240" t="s">
        <v>225</v>
      </c>
      <c r="V6" s="240" t="s">
        <v>226</v>
      </c>
      <c r="W6" s="516" t="s">
        <v>56</v>
      </c>
    </row>
    <row r="7" spans="1:26">
      <c r="A7" s="241"/>
      <c r="B7" s="242"/>
      <c r="C7" s="240" t="s">
        <v>252</v>
      </c>
      <c r="D7" s="243" t="s">
        <v>229</v>
      </c>
      <c r="E7" s="244" t="s">
        <v>230</v>
      </c>
      <c r="F7" s="240" t="s">
        <v>231</v>
      </c>
      <c r="G7" s="240" t="s">
        <v>232</v>
      </c>
      <c r="H7" s="240" t="s">
        <v>233</v>
      </c>
      <c r="I7" s="240" t="s">
        <v>234</v>
      </c>
      <c r="J7" s="240" t="s">
        <v>236</v>
      </c>
      <c r="K7" s="240" t="s">
        <v>237</v>
      </c>
      <c r="L7" s="240" t="s">
        <v>238</v>
      </c>
      <c r="M7" s="240" t="s">
        <v>239</v>
      </c>
      <c r="N7" s="245" t="s">
        <v>240</v>
      </c>
      <c r="O7" s="240" t="s">
        <v>241</v>
      </c>
      <c r="P7" s="240" t="s">
        <v>243</v>
      </c>
      <c r="Q7" s="240" t="s">
        <v>244</v>
      </c>
      <c r="R7" s="240" t="s">
        <v>245</v>
      </c>
      <c r="S7" s="240" t="s">
        <v>246</v>
      </c>
      <c r="T7" s="240" t="s">
        <v>310</v>
      </c>
      <c r="U7" s="240" t="s">
        <v>249</v>
      </c>
      <c r="V7" s="240" t="s">
        <v>251</v>
      </c>
      <c r="W7" s="517"/>
    </row>
    <row r="8" spans="1:26">
      <c r="A8" s="246" t="s">
        <v>207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311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312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313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314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315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316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253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317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136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318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319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196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173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199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253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317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137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320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321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322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323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324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325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326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327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328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253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317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138</v>
      </c>
      <c r="B37" s="274"/>
      <c r="C37" s="275"/>
      <c r="D37" s="275"/>
      <c r="E37" s="275"/>
      <c r="F37" s="275"/>
      <c r="G37" s="275"/>
      <c r="H37" s="275" t="s">
        <v>288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329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330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331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332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333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334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253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317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139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335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336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337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338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253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317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140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339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340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341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342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343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344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345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346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347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348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349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350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351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253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317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352</v>
      </c>
      <c r="Y68" s="314"/>
      <c r="Z68" s="262"/>
      <c r="AA68" s="317"/>
    </row>
    <row r="69" spans="1:27" ht="20.25" thickTop="1">
      <c r="A69" s="263" t="s">
        <v>141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353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354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355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356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253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317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357</v>
      </c>
      <c r="Y75" s="256"/>
      <c r="Z75" s="262"/>
      <c r="AA75" s="262"/>
    </row>
    <row r="76" spans="1:27" s="310" customFormat="1" ht="20.25" thickTop="1">
      <c r="A76" s="273" t="s">
        <v>142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358</v>
      </c>
      <c r="Y76" s="311"/>
    </row>
    <row r="77" spans="1:27" s="310" customFormat="1" ht="20.25" thickBot="1">
      <c r="A77" s="273"/>
      <c r="B77" s="274" t="s">
        <v>359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56</v>
      </c>
      <c r="Y77" s="318"/>
    </row>
    <row r="78" spans="1:27" s="310" customFormat="1" ht="20.25" thickTop="1">
      <c r="A78" s="273"/>
      <c r="B78" s="274" t="s">
        <v>360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361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362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363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364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253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317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365</v>
      </c>
      <c r="Y84" s="314"/>
      <c r="Z84" s="262"/>
      <c r="AA84" s="262"/>
    </row>
    <row r="85" spans="1:27" ht="20.25" thickTop="1">
      <c r="A85" s="263" t="s">
        <v>143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366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122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253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317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367</v>
      </c>
      <c r="Y89" s="256"/>
      <c r="Z89" s="262"/>
      <c r="AA89" s="262"/>
    </row>
    <row r="90" spans="1:27" ht="20.25" thickTop="1">
      <c r="A90" s="263" t="s">
        <v>368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369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370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371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253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317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208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144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372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253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317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68</v>
      </c>
      <c r="Y100" s="256"/>
      <c r="Z100" s="262"/>
      <c r="AA100" s="262"/>
    </row>
    <row r="101" spans="1:27" s="322" customFormat="1" ht="21" thickTop="1" thickBot="1">
      <c r="A101" s="518" t="s">
        <v>373</v>
      </c>
      <c r="B101" s="519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374</v>
      </c>
      <c r="L103" s="323" t="s">
        <v>374</v>
      </c>
      <c r="P103" s="323" t="s">
        <v>374</v>
      </c>
    </row>
    <row r="104" spans="1:27" ht="20.25" thickBot="1">
      <c r="B104" s="235" t="s">
        <v>375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376</v>
      </c>
      <c r="I104" s="324"/>
      <c r="J104" s="324"/>
      <c r="K104" s="324"/>
      <c r="L104" s="323" t="s">
        <v>377</v>
      </c>
      <c r="M104" s="324"/>
      <c r="N104" s="324"/>
      <c r="O104" s="323" t="s">
        <v>378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379</v>
      </c>
      <c r="L105" s="323" t="s">
        <v>380</v>
      </c>
      <c r="O105" s="323" t="s">
        <v>381</v>
      </c>
      <c r="T105" s="323" t="s">
        <v>382</v>
      </c>
      <c r="W105" s="326">
        <f>+[1]รายงานรับจ่ายเงินสด!B70</f>
        <v>12603701.57</v>
      </c>
    </row>
    <row r="106" spans="1:27">
      <c r="O106" s="236" t="s">
        <v>383</v>
      </c>
      <c r="T106" s="327" t="s">
        <v>384</v>
      </c>
      <c r="W106" s="328" t="e">
        <f>+[1]รายงานรับจ่ายเงินสด!#REF!</f>
        <v>#REF!</v>
      </c>
    </row>
    <row r="107" spans="1:27">
      <c r="T107" s="329" t="s">
        <v>307</v>
      </c>
      <c r="W107" s="326" t="e">
        <f>+W105-W106</f>
        <v>#REF!</v>
      </c>
    </row>
    <row r="108" spans="1:27">
      <c r="T108" s="330" t="s">
        <v>182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KKD</cp:lastModifiedBy>
  <cp:lastPrinted>2013-02-13T03:32:06Z</cp:lastPrinted>
  <dcterms:created xsi:type="dcterms:W3CDTF">2007-07-06T07:24:03Z</dcterms:created>
  <dcterms:modified xsi:type="dcterms:W3CDTF">2013-02-13T03:33:45Z</dcterms:modified>
</cp:coreProperties>
</file>