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-90" windowWidth="11715" windowHeight="6450" activeTab="2"/>
  </bookViews>
  <sheets>
    <sheet name="รายรับ " sheetId="33" r:id="rId1"/>
    <sheet name="จ่าย" sheetId="37" r:id="rId2"/>
    <sheet name="นอก " sheetId="29" r:id="rId3"/>
    <sheet name="Sheet1" sheetId="38" r:id="rId4"/>
  </sheets>
  <definedNames>
    <definedName name="_xlnm.Print_Titles" localSheetId="1">จ่าย!$1:$5</definedName>
    <definedName name="_xlnm.Print_Titles" localSheetId="0">'รายรับ '!$1:$6</definedName>
  </definedNames>
  <calcPr calcId="124519"/>
</workbook>
</file>

<file path=xl/calcChain.xml><?xml version="1.0" encoding="utf-8"?>
<calcChain xmlns="http://schemas.openxmlformats.org/spreadsheetml/2006/main">
  <c r="E92" i="29"/>
  <c r="F91"/>
  <c r="D92"/>
  <c r="E104" i="37"/>
  <c r="E51"/>
  <c r="E340"/>
  <c r="F339"/>
  <c r="D338"/>
  <c r="D340" s="1"/>
  <c r="D332"/>
  <c r="D331"/>
  <c r="D329"/>
  <c r="D326"/>
  <c r="D325"/>
  <c r="D324"/>
  <c r="E319"/>
  <c r="F315"/>
  <c r="D317"/>
  <c r="D319" s="1"/>
  <c r="D306"/>
  <c r="D286"/>
  <c r="D283"/>
  <c r="D279"/>
  <c r="D276"/>
  <c r="F264"/>
  <c r="D270"/>
  <c r="D269"/>
  <c r="D263"/>
  <c r="D262"/>
  <c r="D256"/>
  <c r="D241"/>
  <c r="F235"/>
  <c r="F236"/>
  <c r="F237"/>
  <c r="D228"/>
  <c r="D218"/>
  <c r="D195"/>
  <c r="D247"/>
  <c r="D145"/>
  <c r="F130"/>
  <c r="F131"/>
  <c r="F129"/>
  <c r="D129"/>
  <c r="D126"/>
  <c r="D109"/>
  <c r="D107"/>
  <c r="D104"/>
  <c r="D87"/>
  <c r="D72"/>
  <c r="D70"/>
  <c r="D64"/>
  <c r="D63"/>
  <c r="D58"/>
  <c r="D57"/>
  <c r="D56"/>
  <c r="D54"/>
  <c r="D51"/>
  <c r="D46"/>
  <c r="D45"/>
  <c r="D44"/>
  <c r="D43"/>
  <c r="D42"/>
  <c r="D37"/>
  <c r="D36"/>
  <c r="D34"/>
  <c r="D32"/>
  <c r="D31"/>
  <c r="D30"/>
  <c r="D27"/>
  <c r="D26"/>
  <c r="D23"/>
  <c r="F70" i="33" l="1"/>
  <c r="F69"/>
  <c r="F68"/>
  <c r="F67"/>
  <c r="D66"/>
  <c r="F66" s="1"/>
  <c r="D65"/>
  <c r="F65" s="1"/>
  <c r="D64"/>
  <c r="F64" s="1"/>
  <c r="D63"/>
  <c r="F63" s="1"/>
  <c r="D62"/>
  <c r="F62" s="1"/>
  <c r="D61"/>
  <c r="F61" s="1"/>
  <c r="D60"/>
  <c r="F60" s="1"/>
  <c r="D59"/>
  <c r="F59" s="1"/>
  <c r="D58"/>
  <c r="F58" s="1"/>
  <c r="F55"/>
  <c r="D55"/>
  <c r="F54"/>
  <c r="D54"/>
  <c r="C54"/>
  <c r="D53"/>
  <c r="F53" s="1"/>
  <c r="D52"/>
  <c r="F52" s="1"/>
  <c r="D51"/>
  <c r="F51" s="1"/>
  <c r="D50"/>
  <c r="F50" s="1"/>
  <c r="F49"/>
  <c r="F48"/>
  <c r="D48"/>
  <c r="F47"/>
  <c r="D47"/>
  <c r="F46"/>
  <c r="D46"/>
  <c r="F45"/>
  <c r="D45"/>
  <c r="F44"/>
  <c r="D44"/>
  <c r="D43" s="1"/>
  <c r="C43"/>
  <c r="F43" s="1"/>
  <c r="F34"/>
  <c r="D33"/>
  <c r="C33"/>
  <c r="F33" s="1"/>
  <c r="D31"/>
  <c r="F31" s="1"/>
  <c r="D30"/>
  <c r="F30" s="1"/>
  <c r="C29"/>
  <c r="F27"/>
  <c r="D27"/>
  <c r="D26" s="1"/>
  <c r="C26"/>
  <c r="F25"/>
  <c r="F24"/>
  <c r="D24"/>
  <c r="F23"/>
  <c r="D23"/>
  <c r="C23"/>
  <c r="F22"/>
  <c r="F21"/>
  <c r="F20"/>
  <c r="F19"/>
  <c r="D18"/>
  <c r="F18" s="1"/>
  <c r="F17"/>
  <c r="F16"/>
  <c r="D16"/>
  <c r="F15"/>
  <c r="D14"/>
  <c r="F14" s="1"/>
  <c r="F13"/>
  <c r="C12"/>
  <c r="F11"/>
  <c r="F10"/>
  <c r="D10"/>
  <c r="F9"/>
  <c r="D9"/>
  <c r="F8"/>
  <c r="D8"/>
  <c r="C8"/>
  <c r="C7" s="1"/>
  <c r="C71" l="1"/>
  <c r="F26"/>
  <c r="D12"/>
  <c r="D57"/>
  <c r="D29"/>
  <c r="F29" s="1"/>
  <c r="D7" l="1"/>
  <c r="F12"/>
  <c r="D71" l="1"/>
  <c r="F71" s="1"/>
  <c r="F7"/>
  <c r="E367" i="37" l="1"/>
  <c r="D418" s="1"/>
  <c r="F366"/>
  <c r="D367"/>
  <c r="F365"/>
  <c r="D185"/>
  <c r="D172"/>
  <c r="D169"/>
  <c r="D66"/>
  <c r="D52"/>
  <c r="D13"/>
  <c r="F90" i="29" l="1"/>
  <c r="F89"/>
  <c r="F88"/>
  <c r="H367" i="37"/>
  <c r="D267"/>
  <c r="D266"/>
  <c r="E238"/>
  <c r="D242"/>
  <c r="D230"/>
  <c r="D238" s="1"/>
  <c r="D219"/>
  <c r="D168"/>
  <c r="E38"/>
  <c r="F33"/>
  <c r="F86" i="29"/>
  <c r="F87"/>
  <c r="F84"/>
  <c r="F83"/>
  <c r="F82"/>
  <c r="F81"/>
  <c r="F79"/>
  <c r="F11"/>
  <c r="F92" l="1"/>
  <c r="D38" i="37"/>
  <c r="F85" i="29"/>
  <c r="F80"/>
  <c r="F34" i="37"/>
  <c r="E68" l="1"/>
  <c r="F67"/>
  <c r="D68"/>
  <c r="F57" i="29"/>
  <c r="E56"/>
  <c r="F67"/>
  <c r="F68"/>
  <c r="A3"/>
  <c r="F347" i="37"/>
  <c r="F348"/>
  <c r="E183"/>
  <c r="D183"/>
  <c r="F361"/>
  <c r="F362"/>
  <c r="F363"/>
  <c r="F346" l="1"/>
  <c r="F338"/>
  <c r="F305"/>
  <c r="F306"/>
  <c r="F301"/>
  <c r="F302"/>
  <c r="F303"/>
  <c r="E254"/>
  <c r="D254"/>
  <c r="F253"/>
  <c r="F252"/>
  <c r="F234"/>
  <c r="E220"/>
  <c r="F219"/>
  <c r="D220"/>
  <c r="E186"/>
  <c r="D186"/>
  <c r="F185"/>
  <c r="F186" s="1"/>
  <c r="F181"/>
  <c r="F179"/>
  <c r="F178"/>
  <c r="F176"/>
  <c r="E173"/>
  <c r="D173"/>
  <c r="F172"/>
  <c r="F173" s="1"/>
  <c r="F168"/>
  <c r="F169"/>
  <c r="F167"/>
  <c r="E170"/>
  <c r="D170"/>
  <c r="F144"/>
  <c r="F145"/>
  <c r="E117"/>
  <c r="D117"/>
  <c r="F115"/>
  <c r="F107"/>
  <c r="E113"/>
  <c r="D113"/>
  <c r="E89"/>
  <c r="F80"/>
  <c r="F81"/>
  <c r="F82"/>
  <c r="F83"/>
  <c r="F84"/>
  <c r="F85"/>
  <c r="F86"/>
  <c r="F87"/>
  <c r="F88"/>
  <c r="D89"/>
  <c r="E28"/>
  <c r="D410" s="1"/>
  <c r="F183" l="1"/>
  <c r="F254"/>
  <c r="F170"/>
  <c r="F202" l="1"/>
  <c r="F203" s="1"/>
  <c r="E294"/>
  <c r="F284"/>
  <c r="E135"/>
  <c r="D135"/>
  <c r="D49"/>
  <c r="E49"/>
  <c r="F359"/>
  <c r="F358"/>
  <c r="F357"/>
  <c r="F353"/>
  <c r="F354"/>
  <c r="F355"/>
  <c r="F356"/>
  <c r="E350"/>
  <c r="D350"/>
  <c r="F345"/>
  <c r="F344"/>
  <c r="F336"/>
  <c r="E333"/>
  <c r="F332"/>
  <c r="F329"/>
  <c r="E327"/>
  <c r="F325"/>
  <c r="F318"/>
  <c r="F304"/>
  <c r="E297"/>
  <c r="D297"/>
  <c r="F296"/>
  <c r="F297" s="1"/>
  <c r="F293"/>
  <c r="D294"/>
  <c r="F270"/>
  <c r="F265"/>
  <c r="F266"/>
  <c r="F267"/>
  <c r="F268"/>
  <c r="F269"/>
  <c r="E257"/>
  <c r="D257"/>
  <c r="E248"/>
  <c r="D248"/>
  <c r="F247"/>
  <c r="F248" s="1"/>
  <c r="E243"/>
  <c r="D243"/>
  <c r="F242"/>
  <c r="F241"/>
  <c r="F231"/>
  <c r="F232"/>
  <c r="F233"/>
  <c r="F255"/>
  <c r="F230"/>
  <c r="F229"/>
  <c r="F228"/>
  <c r="E223"/>
  <c r="D223"/>
  <c r="F222"/>
  <c r="F223" s="1"/>
  <c r="F218"/>
  <c r="F217"/>
  <c r="E212"/>
  <c r="D212"/>
  <c r="F209"/>
  <c r="F210"/>
  <c r="F211"/>
  <c r="F208"/>
  <c r="E203"/>
  <c r="D203"/>
  <c r="D198"/>
  <c r="E198"/>
  <c r="D420" s="1"/>
  <c r="F195"/>
  <c r="F197"/>
  <c r="F194"/>
  <c r="F190"/>
  <c r="F191" s="1"/>
  <c r="E191"/>
  <c r="D191"/>
  <c r="D162"/>
  <c r="E162"/>
  <c r="E156"/>
  <c r="D156"/>
  <c r="F155"/>
  <c r="F156" s="1"/>
  <c r="E153"/>
  <c r="D153"/>
  <c r="E159"/>
  <c r="D159"/>
  <c r="F158"/>
  <c r="F159" s="1"/>
  <c r="F152"/>
  <c r="F161"/>
  <c r="E148"/>
  <c r="F147"/>
  <c r="F146"/>
  <c r="E139"/>
  <c r="D139"/>
  <c r="F138"/>
  <c r="E121"/>
  <c r="F120"/>
  <c r="F121" s="1"/>
  <c r="F134"/>
  <c r="F135" s="1"/>
  <c r="E132"/>
  <c r="F132"/>
  <c r="D132"/>
  <c r="E127"/>
  <c r="F126"/>
  <c r="F116"/>
  <c r="F117" s="1"/>
  <c r="F112"/>
  <c r="F110"/>
  <c r="F109"/>
  <c r="E105"/>
  <c r="D105"/>
  <c r="F104"/>
  <c r="F105" s="1"/>
  <c r="F92"/>
  <c r="F66"/>
  <c r="F63"/>
  <c r="F57"/>
  <c r="F55"/>
  <c r="F54"/>
  <c r="F52"/>
  <c r="F51"/>
  <c r="F46"/>
  <c r="F44"/>
  <c r="F42"/>
  <c r="F37"/>
  <c r="F31"/>
  <c r="F27"/>
  <c r="F26"/>
  <c r="D24"/>
  <c r="F23"/>
  <c r="F11"/>
  <c r="F16"/>
  <c r="F18" i="29"/>
  <c r="F19"/>
  <c r="F20"/>
  <c r="F21"/>
  <c r="F22"/>
  <c r="F23"/>
  <c r="F24"/>
  <c r="F25"/>
  <c r="F26"/>
  <c r="F27"/>
  <c r="F28"/>
  <c r="F29"/>
  <c r="F30"/>
  <c r="F31"/>
  <c r="F32"/>
  <c r="F17"/>
  <c r="F9" i="37"/>
  <c r="F331"/>
  <c r="F275"/>
  <c r="F286"/>
  <c r="E18"/>
  <c r="D409" s="1"/>
  <c r="F364"/>
  <c r="E280"/>
  <c r="F276"/>
  <c r="F279"/>
  <c r="D280"/>
  <c r="F43"/>
  <c r="F262"/>
  <c r="F335"/>
  <c r="F313"/>
  <c r="F314"/>
  <c r="F317"/>
  <c r="F323"/>
  <c r="F324"/>
  <c r="F337"/>
  <c r="F349"/>
  <c r="F9" i="29"/>
  <c r="F10"/>
  <c r="F12"/>
  <c r="F13"/>
  <c r="F14"/>
  <c r="F15"/>
  <c r="F16"/>
  <c r="D74" i="37"/>
  <c r="F8" i="29"/>
  <c r="F66"/>
  <c r="F70" s="1"/>
  <c r="F7"/>
  <c r="F46"/>
  <c r="E74" i="37"/>
  <c r="E94"/>
  <c r="E99"/>
  <c r="D419" s="1"/>
  <c r="E271"/>
  <c r="E308"/>
  <c r="F60"/>
  <c r="F58"/>
  <c r="F56"/>
  <c r="F64"/>
  <c r="F65"/>
  <c r="F25"/>
  <c r="F30"/>
  <c r="F32"/>
  <c r="F35"/>
  <c r="F45"/>
  <c r="F70"/>
  <c r="F71"/>
  <c r="F72"/>
  <c r="F73"/>
  <c r="F79"/>
  <c r="F89" s="1"/>
  <c r="F93"/>
  <c r="F97"/>
  <c r="F263"/>
  <c r="F277"/>
  <c r="F278"/>
  <c r="F285"/>
  <c r="F287"/>
  <c r="F288"/>
  <c r="F283"/>
  <c r="F292"/>
  <c r="F291"/>
  <c r="F307"/>
  <c r="F308" s="1"/>
  <c r="F10"/>
  <c r="F8"/>
  <c r="F12"/>
  <c r="F15"/>
  <c r="D94"/>
  <c r="D99"/>
  <c r="D271"/>
  <c r="D308"/>
  <c r="F56" i="29"/>
  <c r="F61" s="1"/>
  <c r="E61"/>
  <c r="D61"/>
  <c r="E70"/>
  <c r="D70"/>
  <c r="F44"/>
  <c r="F45"/>
  <c r="F47"/>
  <c r="E50"/>
  <c r="D50"/>
  <c r="E35"/>
  <c r="D35"/>
  <c r="F340" i="37" l="1"/>
  <c r="F319"/>
  <c r="F238"/>
  <c r="F367"/>
  <c r="D413"/>
  <c r="F68"/>
  <c r="F50" i="29"/>
  <c r="F220" i="37"/>
  <c r="E368"/>
  <c r="F113"/>
  <c r="E289"/>
  <c r="E309" s="1"/>
  <c r="F294"/>
  <c r="F289"/>
  <c r="D289"/>
  <c r="D309" s="1"/>
  <c r="F24"/>
  <c r="F28" s="1"/>
  <c r="D28"/>
  <c r="D61"/>
  <c r="F61"/>
  <c r="E61"/>
  <c r="F49"/>
  <c r="F35" i="29"/>
  <c r="F350" i="37"/>
  <c r="F243"/>
  <c r="D327"/>
  <c r="F333"/>
  <c r="D333"/>
  <c r="F256"/>
  <c r="F257" s="1"/>
  <c r="F162"/>
  <c r="D148"/>
  <c r="F148"/>
  <c r="F153"/>
  <c r="F212"/>
  <c r="F198"/>
  <c r="D18"/>
  <c r="F139"/>
  <c r="D121"/>
  <c r="F127"/>
  <c r="D127"/>
  <c r="F36"/>
  <c r="F38" s="1"/>
  <c r="F74"/>
  <c r="F13"/>
  <c r="F18" s="1"/>
  <c r="F99"/>
  <c r="F94"/>
  <c r="F326"/>
  <c r="F327" s="1"/>
  <c r="F271"/>
  <c r="F280"/>
  <c r="E258" l="1"/>
  <c r="E369" s="1"/>
  <c r="D414"/>
  <c r="D258"/>
  <c r="F258"/>
  <c r="D368"/>
  <c r="F368"/>
  <c r="F309"/>
  <c r="D369" l="1"/>
  <c r="F369"/>
</calcChain>
</file>

<file path=xl/sharedStrings.xml><?xml version="1.0" encoding="utf-8"?>
<sst xmlns="http://schemas.openxmlformats.org/spreadsheetml/2006/main" count="709" uniqueCount="324">
  <si>
    <t>หมวดรายจ่าย / ประเภทงาน</t>
  </si>
  <si>
    <t>งบประมาณที่ตั้งไว้</t>
  </si>
  <si>
    <t>เบิกจ่ายไปแล้ว</t>
  </si>
  <si>
    <t>งบประมาณคงเหลือ</t>
  </si>
  <si>
    <t>สำนักงานปลัด</t>
  </si>
  <si>
    <t>1. รายจ่ายประจำ</t>
  </si>
  <si>
    <t xml:space="preserve"> -</t>
  </si>
  <si>
    <t>เงินเดือน</t>
  </si>
  <si>
    <t>ค่าจ้างประจำ</t>
  </si>
  <si>
    <t>เงินช่วยเหลือการศึกษาบุตร</t>
  </si>
  <si>
    <t>เงินช่วยเหลือค่ารักษาพยาบาล</t>
  </si>
  <si>
    <t>ค่าตอบแทน</t>
  </si>
  <si>
    <t>ค่าใช้สอย</t>
  </si>
  <si>
    <t>รายจ่ายเพื่อให้ได้มาซึ่งบริการ</t>
  </si>
  <si>
    <t xml:space="preserve"> </t>
  </si>
  <si>
    <t>ค่าวัสดุ</t>
  </si>
  <si>
    <t>ค่าวัสดุสำนักงาน</t>
  </si>
  <si>
    <t>ค่าวัสดุงานบ้านงานครัว</t>
  </si>
  <si>
    <t>หมวดเงินเดือนและค่าจ้างประจำ</t>
  </si>
  <si>
    <t>หมวดค่าตอบแทนใช้สอยและวัสดุ</t>
  </si>
  <si>
    <t>หมวดค่าสาธารณูปโภค</t>
  </si>
  <si>
    <t>ค่าโทรศัพท์</t>
  </si>
  <si>
    <t>ค่าไปรษณีย์ โทรเลข</t>
  </si>
  <si>
    <t>หมวดเงินอุดหนุน</t>
  </si>
  <si>
    <t>ค่าครุภัณฑ์</t>
  </si>
  <si>
    <t>ค่าที่ดินและสิ่งก่อสร้าง</t>
  </si>
  <si>
    <t>รายจ่ายตามข้อผูกพัน</t>
  </si>
  <si>
    <t>เงินสมทบกองทุนบำเหน็จบำนาญข้าราชการส่วนท้องถิ่น</t>
  </si>
  <si>
    <t>เงินสมทบกองทุนประกันสังคม</t>
  </si>
  <si>
    <t>เงินสำรองจ่าย</t>
  </si>
  <si>
    <t>ส่วนการคลัง</t>
  </si>
  <si>
    <t>หมวดค่าจ้างชั่วคราว</t>
  </si>
  <si>
    <t>ส่วนโยธา</t>
  </si>
  <si>
    <t>หมวดค่าครุภัณฑ์ที่ดินและสิ่งก่อสร้าง</t>
  </si>
  <si>
    <t>รายการ</t>
  </si>
  <si>
    <t>ประมาณการ</t>
  </si>
  <si>
    <t>รายรับจริง</t>
  </si>
  <si>
    <t xml:space="preserve"> +</t>
  </si>
  <si>
    <t>สูง</t>
  </si>
  <si>
    <t>ต่ำ</t>
  </si>
  <si>
    <t>หมวดภาษีอากร</t>
  </si>
  <si>
    <t>ภาษีโรงเรือนและที่ดิน</t>
  </si>
  <si>
    <t>-</t>
  </si>
  <si>
    <t>ภาษีบำรุงท้องที่</t>
  </si>
  <si>
    <t>ภาษีป้าย</t>
  </si>
  <si>
    <t>ภาษีสุรา</t>
  </si>
  <si>
    <t>ภาษีสรรพสามิต</t>
  </si>
  <si>
    <t>ค่าธรรมเนียมจดทะเบียนสิทธินิติกรรมที่ดิน</t>
  </si>
  <si>
    <t>หมวดค่าธรรมเนียม ค่าปรับและใบอนุญาต</t>
  </si>
  <si>
    <t>หมวดรายได้จากทรัพย์สิน</t>
  </si>
  <si>
    <t>ดอกเบี้ยเงินฝากธนาคาร</t>
  </si>
  <si>
    <t>หมวดรายได้เบ็ดเตล็ด</t>
  </si>
  <si>
    <t>ค่าขายแแบบแปลน</t>
  </si>
  <si>
    <t>ธุรกิจเฉพาะ</t>
  </si>
  <si>
    <t>ค่าภาคหลวงแร่</t>
  </si>
  <si>
    <t>ค่าภาคหลวงปิโตรเลียม</t>
  </si>
  <si>
    <t>ค่าตอบแทนการปฏิบัติงานนอกเวลาราชการ</t>
  </si>
  <si>
    <t>ค่าบริการโทรคมนาคม</t>
  </si>
  <si>
    <t>เงินเพิ่มต่าง ๆ</t>
  </si>
  <si>
    <t>เงินเดือนพนักงาน</t>
  </si>
  <si>
    <t>เงินประจำตำแหน่งของผู้บริหาร</t>
  </si>
  <si>
    <t>ค่าจ้างลูกจ้างประจำ</t>
  </si>
  <si>
    <t>เงินอุดหนุนทั่วไป</t>
  </si>
  <si>
    <t>รายจ่ายเกี่ยวเนื่องกับการปฏิบัติราชการที่ไม่เข้าหมวด ฯ</t>
  </si>
  <si>
    <t>หมวดภาษีจัดสรร</t>
  </si>
  <si>
    <t>1.  รายได้จัดเก็บเอง</t>
  </si>
  <si>
    <t>2.  รายได้ที่รัฐบาลเก็บแล้วจัดสรรให้</t>
  </si>
  <si>
    <t>รวมรายได้ (1) + (2) + (3)</t>
  </si>
  <si>
    <t>งบประมาณที่ได้รับ</t>
  </si>
  <si>
    <t>ค่าเช่าบ้าน</t>
  </si>
  <si>
    <t>รวม</t>
  </si>
  <si>
    <t>โครงการ</t>
  </si>
  <si>
    <t xml:space="preserve"> รายจ่ายงบกลาง</t>
  </si>
  <si>
    <t>รวมรายจ่ายงบกลาง (1)</t>
  </si>
  <si>
    <t>รวมสำนักงานปลัดฯ (2)</t>
  </si>
  <si>
    <t>รวมส่วนการคลัง (3)</t>
  </si>
  <si>
    <t>รวมส่วนโยธา (4)</t>
  </si>
  <si>
    <t>ค่าวัสดุเชื้อเพลิงและหล่อลื่น</t>
  </si>
  <si>
    <t>ค่าวัสดุคอมพิวเตอร์</t>
  </si>
  <si>
    <t>รายจ่ายเกี่ยวกับการรับรองและพิธีการ</t>
  </si>
  <si>
    <t>เงินทุนการศึกษา</t>
  </si>
  <si>
    <t>จ่ายจากเงินสะสม</t>
  </si>
  <si>
    <t>จ่ายจากรายจ่ายค้างจ่าย (เบิกตัดปี)</t>
  </si>
  <si>
    <t>งบประมาณที่กันไว้</t>
  </si>
  <si>
    <t>ค่าจ้างเหมาบริการรักษาความปลอดภัย</t>
  </si>
  <si>
    <t>ค่าจ้างเหมาบริการดูแลรักษาความสะอาด</t>
  </si>
  <si>
    <t>เงินสนับสนุนการสวัสดิการส้งคม และสังคมสงเคราะห์</t>
  </si>
  <si>
    <t>เบี้ยยังชีพคนพิการ</t>
  </si>
  <si>
    <t>เบี้ยยังชีพผู้ป่วยเอดส์</t>
  </si>
  <si>
    <t>รายจ่ายเกี่ยวเนื่องกับการปฏิบัติราชการที่ไม่เข้าลักษณะรายจ่ายหมวดอื่น ๆ</t>
  </si>
  <si>
    <t>ค่าไฟฟ้า</t>
  </si>
  <si>
    <t>ครุภัณฑ์สำนักงาน</t>
  </si>
  <si>
    <t>ค่าวัสดุก่อสร้าง</t>
  </si>
  <si>
    <t>ค่าวัสดุอื่น ๆ</t>
  </si>
  <si>
    <t>ค่าสาธารณูปโภค</t>
  </si>
  <si>
    <t>รวมรายจ่ายหมวดเงินเดือน</t>
  </si>
  <si>
    <t>รวมรายจ่ายหมวดค่าตอบแทน</t>
  </si>
  <si>
    <t>รวมรายจ่ายหมวดค่าใช้สอย</t>
  </si>
  <si>
    <t>รวมรายจ่ายหมวดค่าวัสดุ</t>
  </si>
  <si>
    <t>รวมรายจ่ายหมวดค่าสาธารณูปโภค</t>
  </si>
  <si>
    <t>รวมรายจ่ายหมวดเงินอุดหนุน</t>
  </si>
  <si>
    <t>รวมรายจ่ายหมวดรายจ่ายอื่น</t>
  </si>
  <si>
    <t>รวมรายจ่ายหมวดค่าครุภัณฑ์</t>
  </si>
  <si>
    <t>รวมรายจ่ายหมวดค่าที่ดินและสิ่งก่อสร้าง</t>
  </si>
  <si>
    <t>รวมรายจ่ายหมวดรายจ่ายประจำ</t>
  </si>
  <si>
    <t>เงินอุดหนุนเฉพาะกิจค้างจ่าย</t>
  </si>
  <si>
    <t>จ่ายจากรายจ่ายรอจ่าย</t>
  </si>
  <si>
    <t>เงินประโยชน์ตอบแทนอื่น  กรณีพิเศษ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</si>
  <si>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</si>
  <si>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</si>
  <si>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</si>
  <si>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รายได้จากสาธารณูปโภคและการพาณิชย์</t>
  </si>
  <si>
    <t>ภาษีมูลค่าเพิ่ม 1 ใน 9</t>
  </si>
  <si>
    <t>เงินเดือนผู้บริหารฯ</t>
  </si>
  <si>
    <t>ค่าตอบแทนประจำตำแหน่งผู้บริหารฯ</t>
  </si>
  <si>
    <t>เงินเดือน/ค่าตอบแทนเลขานุการ และที่ปรึกษาของผู้บริหารฯ</t>
  </si>
  <si>
    <t>ค่าตอบแทนพิเศษผู้บริหารฯ</t>
  </si>
  <si>
    <t>เงินค่าตอบแทนประธานสภา รองประธานสภา ฯ</t>
  </si>
  <si>
    <t>หมวดเงินเดือน</t>
  </si>
  <si>
    <t>เงินเดือน(ฝ่ายการเมือง)</t>
  </si>
  <si>
    <t>เงินเดือน (ฝ่ายประจำ)</t>
  </si>
  <si>
    <t>เงินเพิ่มต่าง ๆ ของพนักงาน</t>
  </si>
  <si>
    <t>เงินเพิ่มต่าง ๆ ของลูกจ้าง</t>
  </si>
  <si>
    <t>ค่าจ้างชั่วคราว</t>
  </si>
  <si>
    <t>ค่าจ้างพนักงานจ้าง</t>
  </si>
  <si>
    <t>เงินเพิ่มต่าง ๆ ของพนักงานจ้าง</t>
  </si>
  <si>
    <t>รายจ่ายเพื่อบำรุงรักษาหรือซ่อมแซมทรัพย์สิน (วงเงินไม่เกิน 5,000)</t>
  </si>
  <si>
    <t>1. ค่าบำรุงรักษาหรือซ่อมแซมคุรภัณฑ์</t>
  </si>
  <si>
    <t>2. งบดำเนินการ</t>
  </si>
  <si>
    <t>3.  งบลงทุน</t>
  </si>
  <si>
    <t>รายจ่ายเพื่อบำรุงรักษาหรือซ่อมแซมครุภัณฑ์ (วงเงินเกิน 5,000 บาท)</t>
  </si>
  <si>
    <t>4.  งบเงินอุดหนุน</t>
  </si>
  <si>
    <t>เงินอุดหนุนองค์กรปกครองส่วนท้องถิ่นอื่น</t>
  </si>
  <si>
    <t>5.  งบรายจ่ายอื่น</t>
  </si>
  <si>
    <t>หมวดรายจ่ายอื่น</t>
  </si>
  <si>
    <t>ค่าจ้างที่ปรึกษาซึ่งไม่เกี่ยวกับครุภัณฑ์ หรือสิ่งก่อสร้างฯ</t>
  </si>
  <si>
    <t>รายจ่ายเพื่อบำรุงรักษา  หรือซ่อมแซมทรัพย์สิน (วงเงินไม่เกิน 5,000 บาท)</t>
  </si>
  <si>
    <t>3. งบลงทุน</t>
  </si>
  <si>
    <t>รายจ่ายเพื่อบำรุงรักษาหรือซ่อมแซมครุภัณฑ์  (วงเงินเกิน5,000 บาท)</t>
  </si>
  <si>
    <t>รวมทั้งสิ้น งบกลาง ปลัด คลัง ช่าง (1)+(2)+(3)+(4)</t>
  </si>
  <si>
    <t>เงินสมทบระบบหลักประกันสุขภาพในระดับ อบต.</t>
  </si>
  <si>
    <t>ค่าตอบผู้ปฏิบัติราชการกันอันเป็นประโยชน์ฯ</t>
  </si>
  <si>
    <t>องค์การบริหารส่วนตำบลเขาพระทอง อำเภอชะอวด  จังหวัดนครศรีธรรมราช</t>
  </si>
  <si>
    <t>เงินสมทบกองทุนสวัสดิการชุมชน</t>
  </si>
  <si>
    <t>1. ค่าใช้จ่ายในการเดินทางไปราชการฯ</t>
  </si>
  <si>
    <t>อุดหนุนองค์การบริหารส่วนตำบลชะอวด</t>
  </si>
  <si>
    <t>แผนงานรักษาความสงบภายใน</t>
  </si>
  <si>
    <t>ค่าตอบแทนผู้ปฏิบัติราชการอันเป็นประโยชน์แก่ อปท.</t>
  </si>
  <si>
    <t>1. ค่าใช้จ่ายในการเดินทางไปราชการ อปพร.</t>
  </si>
  <si>
    <t>2. โครงการเพื่อนร่วมเดินทางในช่วงเทศกาลปีใหม่และเทศกาลสงกรานต์</t>
  </si>
  <si>
    <t>งานป้องกันฝ่ายพลเรือนและระงับอัคคีภัย</t>
  </si>
  <si>
    <t>รายจ่ายเพื่อบำรุงรักษาหรือซ่อมแซมทรัพย์สิน (วงเงินเกิน 5,000)</t>
  </si>
  <si>
    <t xml:space="preserve">1. ค่าจ้างเหมาบริการต่าง ๆ </t>
  </si>
  <si>
    <t>วัสดุวิทยาศาสตร์หรือการแพทย์</t>
  </si>
  <si>
    <t>วัสดุเครื่องแต่งกาย</t>
  </si>
  <si>
    <t xml:space="preserve">วัสดุอื่น ๆ </t>
  </si>
  <si>
    <t>ครุภัณฑ์ไฟฟ้าและวิทยุ</t>
  </si>
  <si>
    <t>แผนงานการศึกษา</t>
  </si>
  <si>
    <t>เงินเดือน(ฝ่ายประจำ)</t>
  </si>
  <si>
    <t xml:space="preserve">1. ค่าใช้จ่ายในการเดินทางไปราชการ </t>
  </si>
  <si>
    <t>ค่าครุภัณฑ์ที่ดินและสิ่งก่อสร้าง</t>
  </si>
  <si>
    <t>ค่าบำรุงรักษาและปรับปรุงที่ดินและสิ่งก่อสร้าง</t>
  </si>
  <si>
    <t>รวมรายจ่ายหมวดค่าครุภัณฑ์ที่ดินและสิ่งก่อสร้าง</t>
  </si>
  <si>
    <t>เงินอุดหนุน</t>
  </si>
  <si>
    <t>เงินอุดหนุนส่วนราชการ</t>
  </si>
  <si>
    <t>2. หมวดค่าตอบแทนใช้สอยและวัสดุ</t>
  </si>
  <si>
    <t>แผนงานสาธารณะสุข</t>
  </si>
  <si>
    <t>1. งบดำเนินการ</t>
  </si>
  <si>
    <t>หมวดค่าวัสดุ</t>
  </si>
  <si>
    <t>1. อุดหนุนโรงพยาบาลส่งเสริมสุขภาพตำบลบ้านเขาพระทอง</t>
  </si>
  <si>
    <t>2. อุดหนุนโรงพยาบาลส่งเสริมสุขภาพบ้านห้วยแหยง</t>
  </si>
  <si>
    <t>เงินอุดหนุนกิจการที่เป็นสาธารณประโยชน์</t>
  </si>
  <si>
    <t>1. อุดหนุนศูนย์สาธารณสุขมูลฐานชุมขน (ศสมช.) ม.1-7</t>
  </si>
  <si>
    <t>แผนงานสังคมสงเคราะห์</t>
  </si>
  <si>
    <t>รวมรายจ่ายหมวดเงินค่าวัสดุ</t>
  </si>
  <si>
    <t>แผนงานสร้างความเข้มแข็งชุมชน</t>
  </si>
  <si>
    <t>หมวดค่าใช้สอย</t>
  </si>
  <si>
    <t>1. โครงการพัฒนาผู้นำสตรี</t>
  </si>
  <si>
    <t>2.โครงการพัฒนาศักยภาพสภาเด็กและเยาวชน</t>
  </si>
  <si>
    <t>4. โครงการอบรมอาชีพเสริมเพิ่มรายได้</t>
  </si>
  <si>
    <t>รวมรายจ่ายหมวดเงินค่าใช้สอย</t>
  </si>
  <si>
    <t>แผนงานศาสนาวัฒนธรรมและนันทนาการ</t>
  </si>
  <si>
    <t>2. โครงการจัดส่งนักกีฬาเข้าร่วมแข่งขันที่หน่วยงานอื่นจัดขึ้น</t>
  </si>
  <si>
    <t xml:space="preserve"> - </t>
  </si>
  <si>
    <t>วัสดุกีฬา</t>
  </si>
  <si>
    <t>แผนงานศาสนาวัฒนธรรมท้องถิ่น</t>
  </si>
  <si>
    <t>2. เงินอุดหนุน</t>
  </si>
  <si>
    <t>อุดหนุนส่วนราชการ</t>
  </si>
  <si>
    <t>1. อุดหนุนที่ทำการปกครองอำเภอชะอวด (ประเพณีเทศกาลเดือนสิบ)</t>
  </si>
  <si>
    <t>2. อุดหนุนที่ทำการปกครองอำเภอชะอวด (ประเพณีแห่ผ้าขึ้นธาตุ)</t>
  </si>
  <si>
    <t>แผนงานการเกษตร</t>
  </si>
  <si>
    <t>ค่าวัสดุเกษตร</t>
  </si>
  <si>
    <t>แผนงานการพาณิชย์</t>
  </si>
  <si>
    <t>รวมรายจ่ายหมวดเงินค่าสาธารณูปโภค</t>
  </si>
  <si>
    <t>1.  ค่าธรรมเนียมลงทะเบียนต่าง ๆ</t>
  </si>
  <si>
    <t>1. ค่าใช้จ่ายในการเดินทางไปราชการ</t>
  </si>
  <si>
    <t>2. โครงการจัดทำแผนที่ภาษีและทะเบียนทรัพย์สิน</t>
  </si>
  <si>
    <t>ค่าไปรษณีย์</t>
  </si>
  <si>
    <t>ค่าก่อสร้างสิ่งสาธารณูปโภค</t>
  </si>
  <si>
    <t>ค่าธรรมเนียมเกี่ยวกับใบอนุญาตการพนัน</t>
  </si>
  <si>
    <t>ค่าธรรมเนียมอื่น ๆ</t>
  </si>
  <si>
    <t>ค่าปรับผู้กระทำผิดกฎหมายและข้อบัญญัติอบต.</t>
  </si>
  <si>
    <t>ค่าปรับอื่น ๆ</t>
  </si>
  <si>
    <t>ค่าใบอนุญาตให้ตั้งตลาดเอกชน</t>
  </si>
  <si>
    <t>ค่าใบอนุญาตอื่น  ๆ</t>
  </si>
  <si>
    <t>หมวดรายได้จากสาธารณูปโภคและการพาณิชย์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</si>
  <si>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</si>
  <si>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</si>
  <si>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</si>
  <si>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ภาษีมูลค่าเพิ่มตาม พ.ร.บ.กำหนดแผนฯ</t>
  </si>
  <si>
    <t>เงินที่เก็บตามกฎหมายว่าด้วยอุทยานแห่งชาติ</t>
  </si>
  <si>
    <t>3.  หมวดเงินอุดหนุน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</si>
  <si>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</si>
  <si>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</si>
  <si>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</si>
  <si>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</si>
  <si>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</si>
  <si>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</si>
  <si>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</si>
  <si>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</si>
  <si>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</si>
  <si>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รายงานผลการดำเนินงาน  ประจำปีงบประมาณ 2556</t>
  </si>
  <si>
    <t>2. ค่าใช้จ่ายในการรับวารสารและหนังสือพิมพ์</t>
  </si>
  <si>
    <t>3. ค่าใช้จ่ายในการเลือกตั้ง</t>
  </si>
  <si>
    <t>4. ค่าพวงมาลัย ช่อดอกไม้ กระเช้าดอกไม้ และพวงมาลา</t>
  </si>
  <si>
    <t>5. โครงการอบรมเพื่อเพิ่มประสิทธิภาพการทำงานฯ</t>
  </si>
  <si>
    <t>1. โต๊ะทำงานระดับ 2</t>
  </si>
  <si>
    <t>2. โพเดี้ยม</t>
  </si>
  <si>
    <t>1. ค่าจัดซื้อโทรโข่ง ขยายเสียง</t>
  </si>
  <si>
    <t>ครุภัณฑ์งานบ้านงานครัว</t>
  </si>
  <si>
    <t>1. ค่าจัดซื้อเครื่องตัดหญ้าชนิดเดินตาม</t>
  </si>
  <si>
    <t>ครุภัณฑ์คอมพิวเตอร์</t>
  </si>
  <si>
    <t>1. ค่าจัดซื้อเครื่องปริ้นเตอร์ แบบเลเซอร์</t>
  </si>
  <si>
    <t>2. ค่าจัดซื้อหน่วยประมวลผล CPU คอมพิวเตอร์</t>
  </si>
  <si>
    <t>รายจ่ายเพื่อให้ได้มาซึ่งบริการ (ค่าลงทะเบียน)</t>
  </si>
  <si>
    <t>วัสดุงานบ้านงานครัว</t>
  </si>
  <si>
    <t>1.ค่าจัดซื้อเครื่องทำน้ำร้อนน้ำเย็น</t>
  </si>
  <si>
    <t>เงินเพิ่มฯ พนักงาน</t>
  </si>
  <si>
    <t>โครงการก่อสร้างห้องครัวโรงอาหารศูนย์พัฒนาเด็กเล็กชุมชนวัดเขาลำปะ ม.2</t>
  </si>
  <si>
    <t>งานระดับก่อนวัยเรียนและประถมศึกษา</t>
  </si>
  <si>
    <t>1. ค่าของขวัญ ของรางวัล</t>
  </si>
  <si>
    <t>2. โครงการบัณฑิตน้อย</t>
  </si>
  <si>
    <t>3. โครงการสนับสนุนค่าใช้จ่ายการบริหารสถานศึกษา</t>
  </si>
  <si>
    <t>ค่าอาหารเสริม(นม)</t>
  </si>
  <si>
    <t>1. ค่าจัดซื้อชั้นวางของ 3 ชั้น</t>
  </si>
  <si>
    <t>1. ค่าจัดซื้อเครื่องคอมพิวเตอร์ ศพด.บ้านทุ่งไม้ไผ่</t>
  </si>
  <si>
    <t xml:space="preserve">2. เครื่องพิมพ์ชนิดเลเซอร์ </t>
  </si>
  <si>
    <t>ครุภัณฑ์อื่น</t>
  </si>
  <si>
    <t>1. ค่าจัดซื้อเครื่องเล่นสนามกลางแจ้ง(สนามเด็กเล่น) ศพด.อบต.</t>
  </si>
  <si>
    <t>รวมรายจ่ายหมวดเงินครุภัณฑ์</t>
  </si>
  <si>
    <t>อุดหนุนส่วนราชการ ตามโครงการอาหารกลางวัน รร.</t>
  </si>
  <si>
    <t>3. โครงการอบรมให้ความรู้แก่การรับรู้ข้อมูลข่าวสาร</t>
  </si>
  <si>
    <t>1. โครงการแข่งขันกีฬาต้านยาเสพติด ประจำปี 2556</t>
  </si>
  <si>
    <t>3. โครงการกีฬาสานสัมพันธ์องค์กรปกครองส่วนท้องถิ่น</t>
  </si>
  <si>
    <t>1. โครงการจัดงานวันผู้สูงอายุ ประจำปี 2556</t>
  </si>
  <si>
    <t>2. โครงการร่วมงานดอกจูดบาน กาชาดและของดีเมืองชะอวด ประจำปี 2556</t>
  </si>
  <si>
    <t>4. โครงการแห่เทียนพรรษา ประจำปี 2556</t>
  </si>
  <si>
    <t>5. โครงการส่งเสริมประเพณีชักพระ ประจำปี 2556</t>
  </si>
  <si>
    <t>6. โครงการส่งเสริมสนับสนุนประเพณีห่มผ้าพระ ประจำปี 2556</t>
  </si>
  <si>
    <t>7. โครงการจัดงานประเพณีวันสงกรานต์ ประจำปี 2556</t>
  </si>
  <si>
    <t>ค่าจัดซื้อโต๊ะทำงาน พร้อมเก้าอี้ ระดับ 3</t>
  </si>
  <si>
    <t>ค่าจัดซื้อตู้เหล็กเก็บเอกสาร 2 บานปิด</t>
  </si>
  <si>
    <t>ค่าจัดซื้อตู้เหล็กเก็บเอกสาร 4 ลิ้นชัก</t>
  </si>
  <si>
    <t>ค่าจัดซื้อคอมพิวเตอร์</t>
  </si>
  <si>
    <t>ค่าจัดซื้อเครื่องปริ้นเตอร์ แบบเลเซอร์</t>
  </si>
  <si>
    <t>ค่าจัดซื้อเครื่องประมวลผล</t>
  </si>
  <si>
    <t>ค่าจัดซื้อเครื่องปรับอากาศ</t>
  </si>
  <si>
    <t>ค่าจัดซื้อตู้เหล็กเก็บเอกสารชนิด 2 บาน</t>
  </si>
  <si>
    <t>ค่าต่อเติมรถจักรยานยนต์(ต่อพวงข้าง)</t>
  </si>
  <si>
    <t>โครงการก่อสร้างห้องสุขาข้างสนามกีฬา อบต.หมู่ 1</t>
  </si>
  <si>
    <t>ก่อสร้างถนน ค.ส.ล สายบ้านนายไสว-ฝ่ายน้ำล้นกลางห้วยยูง หมู่ 1</t>
  </si>
  <si>
    <t>ก่อสร้างถนน ค.ส.ล.สายทุ่งนักขัน-ชลประทาน หมู่ 4</t>
  </si>
  <si>
    <t>ก่อสร้างถนน ค.ส.ล.สายห้วยยวนใต้-คลองลานแซะ หมู่ 6</t>
  </si>
  <si>
    <t>โครงการขยายเขตประปาหมู่บ้าน บ้านห้วยถ้ำ หมู่ 5</t>
  </si>
  <si>
    <t>โครงการขุดเจาะบ่อบาดาล หมู่ 7</t>
  </si>
  <si>
    <t>ค่าบำรุงรักษาและปรับปรุงที่ดินและสิ่งก่อสร้างภายในตำบล</t>
  </si>
  <si>
    <t>ปรับปรุงซ่อมแซมถนนในเขตหมู่ที่ 3-4 จำนวน 5 สาย</t>
  </si>
  <si>
    <t>ปรับปรุงซ่อมแซมถนนในเขตหมู่ที่ 7 จำนวน 3 สาย</t>
  </si>
  <si>
    <t>ปรับปรุงซ่อมแซมถนนในเขตหมู่ที่ 5-6 จำนวน 3 สาย</t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</si>
  <si>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</si>
  <si>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</si>
  <si>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</si>
  <si>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โครงการปรับปรุงอาคารหอประชุม หมู่ 1</t>
  </si>
  <si>
    <t>ค่าจ้างเหมาบริการ(เก็บค่าน้ำ)</t>
  </si>
  <si>
    <t>ค่าจ้างเหมาบริการ(แผนที่ภาษี)</t>
  </si>
  <si>
    <t>ค่าหนังสือพิมพ์</t>
  </si>
  <si>
    <t>โครงการก่อสร้างท่อหลอดเลี่ยม หมู่ที่ 7</t>
  </si>
  <si>
    <t>ค่าตอบแทน อปพร.</t>
  </si>
  <si>
    <t>เงินอุดหนุนเฉพาะกิจ-ค่ารักษาพยาบาลครู ศพด.</t>
  </si>
  <si>
    <t>เงินอุดหนุนเฉพาะกิจ-เบี้ยยังชีพผู้สูงอายุ.</t>
  </si>
  <si>
    <t>เงินอุดหนุนเฉพาะกิจ-เบี้ยยังชีพผู้สูงพิการ</t>
  </si>
  <si>
    <t>เพิ่ม</t>
  </si>
  <si>
    <t>ค่าวัสดุไฟฟ้าและวิทยุ</t>
  </si>
  <si>
    <t>8. โครงการประเพณีลอยกระทง ประจำปี 2555</t>
  </si>
  <si>
    <t>1. ค่าบำรุงรักษาหรือซ่อมแซมครุภัณฑ์</t>
  </si>
  <si>
    <t>+</t>
  </si>
  <si>
    <t>โครงการสร้างพลังเยาวชนฯ</t>
  </si>
  <si>
    <t>โครงการก่อสร้างอาคารศูนย์พัฒนาเด็กเล็ก บ้านทุ่งไม้ไผ่</t>
  </si>
  <si>
    <t>จ่ายจากเงินอุดหนุนเฉพาะกิจ</t>
  </si>
  <si>
    <t>เงินเพิ่มต่าง ๆ ของลูกจ้างประจำ</t>
  </si>
  <si>
    <t>3. โครงการทำบุญตักบาตรส่งท้ายปีเก่าต้อนรับปีใหม่ 2556</t>
  </si>
  <si>
    <t>9. โครงการวันมาฆบูชาแห่ผ้าขึ้นธาตุ ประจำปี 2556</t>
  </si>
  <si>
    <t>โครงการแก้ไขปัญหายาเสพติดฯ</t>
  </si>
  <si>
    <t>ค่าวัสดุการศึกษา</t>
  </si>
  <si>
    <t>ภาษียาสูบ</t>
  </si>
  <si>
    <t>โครงการยาเสพติดฯ</t>
  </si>
  <si>
    <t>วัสดุการศึกษา</t>
  </si>
  <si>
    <t>โครงการขุดเจาะบ่อบาดาล หมู่ 2</t>
  </si>
  <si>
    <t>โครงการขุดเจาะบ่อบาดาล หมู่ 6</t>
  </si>
  <si>
    <t>งบกลาง</t>
  </si>
  <si>
    <t>เงินเดือน(ชั่วคราว)</t>
  </si>
  <si>
    <t xml:space="preserve">รายจ่ายอื่น </t>
  </si>
  <si>
    <t>องค์การบริหารส่วนตำบลเขาพระทอง อำเภอชะอวด จังหวัดนครศรีธรรมราช</t>
  </si>
  <si>
    <t xml:space="preserve">รายละเอียด ประกอบงบทดลองและรายงานรับ -  จ่ายเงินสด </t>
  </si>
  <si>
    <t>หมายเหตุ 1</t>
  </si>
  <si>
    <t>ทุนการศึกษาครู ผดด</t>
  </si>
  <si>
    <t>งวดที่ 4 เดือนกรกฎาคม  2556 - กันยายน  2556</t>
  </si>
  <si>
    <t>9. โครงการประเพณีเดือนสิบ (แห่หมรับ)  ประจำปี 2556</t>
  </si>
  <si>
    <t>เงินประจำตำแหน่ง</t>
  </si>
  <si>
    <t>รายจ่ายเพื่อให้ได้มาซึ่งบริการ  (ค้างจ่ายยามฯ  5,000)</t>
  </si>
  <si>
    <t>ค่าตอบแทนผู้ปฏิบัติราชการอันเป็นประโยชน์แก่ อบต.(ค้างจ่ายฯ 980,000)</t>
  </si>
  <si>
    <t>1. ค่าตอบแทน อปพร.  (ค้างจ่ายฯ 900)</t>
  </si>
  <si>
    <t>ก่อสร้างถนน ค.ส.ล สายวังเคียน-เกาะสะท้อน หมู่ 2 (ค้างจ่าย 498,000)</t>
  </si>
  <si>
    <t>ทุนการศึกษา ผดด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</si>
</sst>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52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  <charset val="222"/>
    </font>
    <font>
      <sz val="14"/>
      <name val="CordiaUPC"/>
      <family val="2"/>
      <charset val="222"/>
    </font>
    <font>
      <sz val="14"/>
      <name val="Cordia New"/>
      <charset val="222"/>
    </font>
    <font>
      <u/>
      <sz val="14"/>
      <name val="Cordia New"/>
      <family val="2"/>
      <charset val="222"/>
    </font>
    <font>
      <sz val="14"/>
      <name val="Cordia New"/>
      <family val="2"/>
    </font>
    <font>
      <b/>
      <sz val="14"/>
      <name val="Cordia New"/>
      <charset val="222"/>
    </font>
    <font>
      <b/>
      <sz val="14"/>
      <name val="Cordia New"/>
      <family val="2"/>
    </font>
    <font>
      <i/>
      <sz val="14"/>
      <name val="Cordia New"/>
      <family val="2"/>
    </font>
    <font>
      <i/>
      <u/>
      <sz val="14"/>
      <name val="Cordia New"/>
      <family val="2"/>
    </font>
    <font>
      <i/>
      <u/>
      <sz val="14"/>
      <name val="Cordia New"/>
      <family val="2"/>
      <charset val="222"/>
    </font>
    <font>
      <i/>
      <sz val="14"/>
      <name val="Cordia New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sz val="8"/>
      <name val="Cordia New"/>
      <charset val="222"/>
    </font>
    <font>
      <sz val="14"/>
      <color indexed="17"/>
      <name val="Cordia New"/>
      <charset val="222"/>
    </font>
    <font>
      <b/>
      <sz val="14"/>
      <color indexed="10"/>
      <name val="Cordia New"/>
      <charset val="222"/>
    </font>
    <font>
      <b/>
      <i/>
      <sz val="14"/>
      <name val="Cordia New"/>
      <family val="2"/>
    </font>
    <font>
      <sz val="13"/>
      <name val="Cordia New"/>
      <family val="2"/>
      <charset val="222"/>
    </font>
    <font>
      <i/>
      <u/>
      <sz val="14"/>
      <color indexed="10"/>
      <name val="Cordia New"/>
      <family val="2"/>
      <charset val="222"/>
    </font>
    <font>
      <sz val="14"/>
      <color indexed="10"/>
      <name val="Cordia New"/>
      <family val="2"/>
      <charset val="222"/>
    </font>
    <font>
      <i/>
      <sz val="14"/>
      <color indexed="10"/>
      <name val="Cordia New"/>
      <family val="2"/>
      <charset val="222"/>
    </font>
    <font>
      <b/>
      <i/>
      <sz val="14"/>
      <color indexed="12"/>
      <name val="Cordia New"/>
      <family val="2"/>
      <charset val="222"/>
    </font>
    <font>
      <sz val="14"/>
      <color indexed="12"/>
      <name val="Cordia New"/>
      <family val="2"/>
      <charset val="222"/>
    </font>
    <font>
      <b/>
      <sz val="14"/>
      <color indexed="12"/>
      <name val="Cordia New"/>
      <family val="2"/>
      <charset val="222"/>
    </font>
    <font>
      <b/>
      <sz val="14"/>
      <color indexed="12"/>
      <name val="Cordia New"/>
      <family val="2"/>
    </font>
    <font>
      <b/>
      <sz val="14"/>
      <color indexed="48"/>
      <name val="Cordia New"/>
      <family val="2"/>
    </font>
    <font>
      <b/>
      <i/>
      <sz val="14"/>
      <color indexed="48"/>
      <name val="Cordia New"/>
      <family val="2"/>
      <charset val="222"/>
    </font>
    <font>
      <b/>
      <i/>
      <sz val="14"/>
      <color indexed="10"/>
      <name val="Cordia New"/>
      <family val="2"/>
      <charset val="222"/>
    </font>
    <font>
      <i/>
      <u/>
      <sz val="14"/>
      <color rgb="FFFF0000"/>
      <name val="Cordia New"/>
      <family val="2"/>
    </font>
    <font>
      <u/>
      <sz val="14"/>
      <name val="Cordia New"/>
      <family val="2"/>
    </font>
    <font>
      <b/>
      <sz val="14"/>
      <color rgb="FF0070C0"/>
      <name val="Cordia New"/>
      <family val="2"/>
    </font>
    <font>
      <sz val="14"/>
      <color rgb="FF0000FF"/>
      <name val="Cordia New"/>
      <family val="2"/>
      <charset val="222"/>
    </font>
    <font>
      <b/>
      <sz val="14"/>
      <color rgb="FF0000FF"/>
      <name val="Cordia New"/>
      <family val="2"/>
      <charset val="222"/>
    </font>
    <font>
      <b/>
      <sz val="14"/>
      <color indexed="10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u/>
      <sz val="14"/>
      <color indexed="10"/>
      <name val="Cordia New"/>
      <family val="2"/>
    </font>
    <font>
      <b/>
      <i/>
      <u/>
      <sz val="14"/>
      <name val="Cordia New"/>
      <family val="2"/>
    </font>
    <font>
      <b/>
      <i/>
      <u/>
      <sz val="16"/>
      <name val="Cordia New"/>
      <family val="2"/>
    </font>
    <font>
      <b/>
      <i/>
      <u/>
      <sz val="16"/>
      <name val="Cordia New"/>
      <family val="2"/>
      <charset val="222"/>
    </font>
    <font>
      <sz val="15"/>
      <name val="CordiaUPC"/>
      <family val="2"/>
      <charset val="222"/>
    </font>
    <font>
      <sz val="15"/>
      <name val="Cordia New"/>
      <family val="2"/>
    </font>
    <font>
      <b/>
      <sz val="15"/>
      <name val="Cordia New"/>
      <family val="2"/>
    </font>
    <font>
      <sz val="15"/>
      <name val="Cordia New"/>
      <family val="2"/>
      <charset val="222"/>
    </font>
    <font>
      <b/>
      <i/>
      <sz val="15"/>
      <name val="Cordia New"/>
      <family val="2"/>
    </font>
    <font>
      <u/>
      <sz val="15"/>
      <name val="Cordia New"/>
      <family val="2"/>
      <charset val="222"/>
    </font>
    <font>
      <sz val="16"/>
      <name val="Angsana New"/>
      <family val="1"/>
    </font>
    <font>
      <sz val="15"/>
      <name val="Angsana New"/>
      <family val="1"/>
    </font>
    <font>
      <b/>
      <sz val="15"/>
      <name val="Angsana New"/>
      <family val="1"/>
    </font>
    <font>
      <u/>
      <sz val="15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 applyFill="1"/>
    <xf numFmtId="43" fontId="2" fillId="0" borderId="1" xfId="1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2" xfId="0" applyFont="1" applyFill="1" applyBorder="1"/>
    <xf numFmtId="43" fontId="2" fillId="0" borderId="3" xfId="1" applyFont="1" applyFill="1" applyBorder="1"/>
    <xf numFmtId="0" fontId="2" fillId="0" borderId="4" xfId="0" applyFont="1" applyFill="1" applyBorder="1"/>
    <xf numFmtId="0" fontId="2" fillId="0" borderId="0" xfId="0" applyFont="1" applyFill="1" applyBorder="1" applyAlignment="1">
      <alignment horizontal="center"/>
    </xf>
    <xf numFmtId="43" fontId="6" fillId="0" borderId="3" xfId="1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43" fontId="2" fillId="0" borderId="8" xfId="1" applyFont="1" applyFill="1" applyBorder="1"/>
    <xf numFmtId="0" fontId="2" fillId="0" borderId="2" xfId="0" applyFont="1" applyFill="1" applyBorder="1" applyAlignment="1">
      <alignment shrinkToFit="1"/>
    </xf>
    <xf numFmtId="43" fontId="4" fillId="0" borderId="0" xfId="0" applyNumberFormat="1" applyFont="1" applyFill="1"/>
    <xf numFmtId="0" fontId="2" fillId="0" borderId="4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4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/>
    <xf numFmtId="43" fontId="7" fillId="0" borderId="0" xfId="0" applyNumberFormat="1" applyFont="1" applyFill="1"/>
    <xf numFmtId="0" fontId="7" fillId="0" borderId="0" xfId="0" applyFont="1" applyFill="1"/>
    <xf numFmtId="43" fontId="2" fillId="0" borderId="9" xfId="1" applyFont="1" applyFill="1" applyBorder="1"/>
    <xf numFmtId="0" fontId="5" fillId="0" borderId="2" xfId="0" applyFont="1" applyFill="1" applyBorder="1"/>
    <xf numFmtId="0" fontId="9" fillId="0" borderId="4" xfId="0" applyFont="1" applyFill="1" applyBorder="1"/>
    <xf numFmtId="0" fontId="11" fillId="0" borderId="4" xfId="0" applyFont="1" applyFill="1" applyBorder="1"/>
    <xf numFmtId="0" fontId="11" fillId="0" borderId="0" xfId="0" applyFont="1" applyFill="1" applyBorder="1"/>
    <xf numFmtId="0" fontId="12" fillId="0" borderId="2" xfId="0" applyFont="1" applyFill="1" applyBorder="1"/>
    <xf numFmtId="0" fontId="12" fillId="0" borderId="4" xfId="0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/>
    <xf numFmtId="0" fontId="12" fillId="0" borderId="0" xfId="0" applyFont="1" applyFill="1" applyBorder="1"/>
    <xf numFmtId="43" fontId="9" fillId="0" borderId="3" xfId="1" applyFont="1" applyFill="1" applyBorder="1"/>
    <xf numFmtId="0" fontId="16" fillId="0" borderId="0" xfId="0" applyFont="1" applyFill="1"/>
    <xf numFmtId="0" fontId="17" fillId="0" borderId="0" xfId="0" applyFont="1" applyFill="1"/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/>
    <xf numFmtId="0" fontId="10" fillId="0" borderId="0" xfId="0" applyFont="1" applyFill="1" applyBorder="1" applyAlignment="1">
      <alignment horizontal="left"/>
    </xf>
    <xf numFmtId="0" fontId="9" fillId="0" borderId="2" xfId="0" applyFont="1" applyFill="1" applyBorder="1"/>
    <xf numFmtId="0" fontId="9" fillId="0" borderId="0" xfId="0" applyFont="1" applyFill="1"/>
    <xf numFmtId="0" fontId="0" fillId="0" borderId="0" xfId="0" applyFill="1"/>
    <xf numFmtId="0" fontId="13" fillId="0" borderId="12" xfId="0" applyFont="1" applyFill="1" applyBorder="1"/>
    <xf numFmtId="0" fontId="14" fillId="0" borderId="13" xfId="0" applyFont="1" applyFill="1" applyBorder="1"/>
    <xf numFmtId="0" fontId="18" fillId="0" borderId="0" xfId="0" applyFont="1" applyFill="1"/>
    <xf numFmtId="0" fontId="1" fillId="0" borderId="0" xfId="0" applyFont="1" applyFill="1"/>
    <xf numFmtId="43" fontId="1" fillId="0" borderId="0" xfId="1" applyFont="1" applyFill="1"/>
    <xf numFmtId="0" fontId="1" fillId="0" borderId="0" xfId="0" applyFont="1" applyFill="1" applyAlignment="1"/>
    <xf numFmtId="0" fontId="1" fillId="0" borderId="0" xfId="0" applyFont="1" applyFill="1" applyBorder="1"/>
    <xf numFmtId="43" fontId="1" fillId="0" borderId="0" xfId="0" applyNumberFormat="1" applyFont="1" applyFill="1"/>
    <xf numFmtId="43" fontId="2" fillId="0" borderId="0" xfId="0" applyNumberFormat="1" applyFont="1" applyFill="1"/>
    <xf numFmtId="0" fontId="19" fillId="0" borderId="2" xfId="0" applyFont="1" applyFill="1" applyBorder="1"/>
    <xf numFmtId="0" fontId="2" fillId="0" borderId="14" xfId="0" applyFont="1" applyFill="1" applyBorder="1" applyAlignment="1">
      <alignment horizontal="center"/>
    </xf>
    <xf numFmtId="0" fontId="2" fillId="0" borderId="1" xfId="0" applyFont="1" applyFill="1" applyBorder="1"/>
    <xf numFmtId="0" fontId="20" fillId="0" borderId="0" xfId="0" applyFont="1" applyFill="1" applyBorder="1"/>
    <xf numFmtId="0" fontId="21" fillId="0" borderId="2" xfId="0" applyFont="1" applyFill="1" applyBorder="1"/>
    <xf numFmtId="0" fontId="22" fillId="0" borderId="0" xfId="0" applyFont="1" applyFill="1" applyBorder="1" applyAlignment="1">
      <alignment horizontal="center"/>
    </xf>
    <xf numFmtId="0" fontId="20" fillId="0" borderId="2" xfId="0" applyFont="1" applyFill="1" applyBorder="1"/>
    <xf numFmtId="0" fontId="22" fillId="0" borderId="2" xfId="0" applyFont="1" applyFill="1" applyBorder="1"/>
    <xf numFmtId="0" fontId="21" fillId="0" borderId="4" xfId="0" applyFont="1" applyFill="1" applyBorder="1"/>
    <xf numFmtId="43" fontId="23" fillId="0" borderId="1" xfId="1" applyFont="1" applyFill="1" applyBorder="1"/>
    <xf numFmtId="0" fontId="2" fillId="0" borderId="12" xfId="0" applyFont="1" applyFill="1" applyBorder="1"/>
    <xf numFmtId="0" fontId="24" fillId="0" borderId="14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43" fontId="25" fillId="0" borderId="1" xfId="1" applyFont="1" applyFill="1" applyBorder="1"/>
    <xf numFmtId="0" fontId="26" fillId="0" borderId="13" xfId="0" applyFont="1" applyFill="1" applyBorder="1" applyAlignment="1">
      <alignment horizontal="center"/>
    </xf>
    <xf numFmtId="43" fontId="26" fillId="0" borderId="1" xfId="1" applyFont="1" applyFill="1" applyBorder="1"/>
    <xf numFmtId="0" fontId="26" fillId="0" borderId="13" xfId="0" applyFont="1" applyFill="1" applyBorder="1" applyAlignment="1">
      <alignment horizontal="center" shrinkToFit="1"/>
    </xf>
    <xf numFmtId="0" fontId="12" fillId="0" borderId="12" xfId="0" applyFont="1" applyFill="1" applyBorder="1"/>
    <xf numFmtId="0" fontId="6" fillId="0" borderId="14" xfId="0" applyFont="1" applyFill="1" applyBorder="1" applyAlignment="1">
      <alignment horizontal="center"/>
    </xf>
    <xf numFmtId="0" fontId="27" fillId="0" borderId="13" xfId="0" applyFont="1" applyFill="1" applyBorder="1"/>
    <xf numFmtId="43" fontId="27" fillId="0" borderId="1" xfId="1" applyFont="1" applyFill="1" applyBorder="1"/>
    <xf numFmtId="43" fontId="28" fillId="0" borderId="1" xfId="1" applyFont="1" applyFill="1" applyBorder="1"/>
    <xf numFmtId="0" fontId="8" fillId="0" borderId="12" xfId="0" applyFont="1" applyFill="1" applyBorder="1"/>
    <xf numFmtId="0" fontId="8" fillId="0" borderId="14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3" fontId="26" fillId="0" borderId="3" xfId="1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43" fontId="25" fillId="0" borderId="3" xfId="1" applyFont="1" applyFill="1" applyBorder="1"/>
    <xf numFmtId="0" fontId="6" fillId="0" borderId="2" xfId="0" applyFont="1" applyFill="1" applyBorder="1" applyAlignment="1">
      <alignment shrinkToFit="1"/>
    </xf>
    <xf numFmtId="0" fontId="26" fillId="0" borderId="2" xfId="0" applyFont="1" applyFill="1" applyBorder="1" applyAlignment="1">
      <alignment horizontal="center" shrinkToFit="1"/>
    </xf>
    <xf numFmtId="43" fontId="27" fillId="0" borderId="3" xfId="1" applyFont="1" applyFill="1" applyBorder="1"/>
    <xf numFmtId="0" fontId="27" fillId="0" borderId="2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7" xfId="0" applyFont="1" applyFill="1" applyBorder="1"/>
    <xf numFmtId="0" fontId="2" fillId="0" borderId="14" xfId="0" applyFont="1" applyFill="1" applyBorder="1" applyAlignment="1">
      <alignment horizontal="center"/>
    </xf>
    <xf numFmtId="43" fontId="23" fillId="0" borderId="8" xfId="1" applyFont="1" applyFill="1" applyBorder="1"/>
    <xf numFmtId="0" fontId="6" fillId="0" borderId="2" xfId="0" applyFont="1" applyFill="1" applyBorder="1" applyAlignment="1">
      <alignment horizontal="left" shrinkToFit="1"/>
    </xf>
    <xf numFmtId="0" fontId="30" fillId="0" borderId="0" xfId="0" applyFont="1" applyFill="1" applyBorder="1" applyAlignment="1">
      <alignment horizontal="left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/>
    <xf numFmtId="0" fontId="10" fillId="0" borderId="4" xfId="0" applyFont="1" applyFill="1" applyBorder="1"/>
    <xf numFmtId="43" fontId="32" fillId="0" borderId="1" xfId="1" applyFont="1" applyFill="1" applyBorder="1"/>
    <xf numFmtId="0" fontId="31" fillId="0" borderId="2" xfId="0" applyFont="1" applyFill="1" applyBorder="1" applyAlignment="1">
      <alignment horizontal="left" shrinkToFit="1"/>
    </xf>
    <xf numFmtId="0" fontId="6" fillId="0" borderId="0" xfId="0" applyFont="1" applyFill="1"/>
    <xf numFmtId="0" fontId="2" fillId="0" borderId="6" xfId="0" applyFont="1" applyFill="1" applyBorder="1" applyAlignment="1">
      <alignment horizontal="center"/>
    </xf>
    <xf numFmtId="0" fontId="33" fillId="0" borderId="12" xfId="0" applyFont="1" applyFill="1" applyBorder="1"/>
    <xf numFmtId="0" fontId="33" fillId="0" borderId="14" xfId="0" applyFont="1" applyFill="1" applyBorder="1" applyAlignment="1">
      <alignment horizontal="center"/>
    </xf>
    <xf numFmtId="0" fontId="34" fillId="0" borderId="13" xfId="0" applyFont="1" applyFill="1" applyBorder="1"/>
    <xf numFmtId="43" fontId="34" fillId="0" borderId="1" xfId="1" applyFont="1" applyFill="1" applyBorder="1"/>
    <xf numFmtId="0" fontId="33" fillId="0" borderId="5" xfId="0" applyFont="1" applyFill="1" applyBorder="1"/>
    <xf numFmtId="0" fontId="33" fillId="0" borderId="6" xfId="0" applyFont="1" applyFill="1" applyBorder="1" applyAlignment="1">
      <alignment horizontal="center"/>
    </xf>
    <xf numFmtId="43" fontId="35" fillId="0" borderId="1" xfId="1" applyFont="1" applyFill="1" applyBorder="1"/>
    <xf numFmtId="0" fontId="2" fillId="0" borderId="14" xfId="0" applyFont="1" applyFill="1" applyBorder="1" applyAlignment="1">
      <alignment horizontal="center"/>
    </xf>
    <xf numFmtId="0" fontId="13" fillId="0" borderId="10" xfId="0" applyFont="1" applyFill="1" applyBorder="1"/>
    <xf numFmtId="0" fontId="14" fillId="0" borderId="11" xfId="0" applyFont="1" applyFill="1" applyBorder="1"/>
    <xf numFmtId="43" fontId="14" fillId="0" borderId="9" xfId="0" applyNumberFormat="1" applyFont="1" applyFill="1" applyBorder="1"/>
    <xf numFmtId="49" fontId="14" fillId="0" borderId="9" xfId="0" applyNumberFormat="1" applyFont="1" applyFill="1" applyBorder="1" applyAlignment="1">
      <alignment horizontal="center"/>
    </xf>
    <xf numFmtId="0" fontId="36" fillId="0" borderId="4" xfId="0" applyFont="1" applyFill="1" applyBorder="1"/>
    <xf numFmtId="0" fontId="37" fillId="0" borderId="2" xfId="0" applyFont="1" applyFill="1" applyBorder="1"/>
    <xf numFmtId="43" fontId="37" fillId="0" borderId="1" xfId="1" applyNumberFormat="1" applyFont="1" applyFill="1" applyBorder="1"/>
    <xf numFmtId="49" fontId="37" fillId="0" borderId="1" xfId="0" applyNumberFormat="1" applyFont="1" applyFill="1" applyBorder="1" applyAlignment="1">
      <alignment horizontal="center"/>
    </xf>
    <xf numFmtId="43" fontId="37" fillId="0" borderId="1" xfId="0" applyNumberFormat="1" applyFont="1" applyFill="1" applyBorder="1"/>
    <xf numFmtId="43" fontId="3" fillId="0" borderId="3" xfId="1" applyNumberFormat="1" applyFont="1" applyFill="1" applyBorder="1"/>
    <xf numFmtId="49" fontId="3" fillId="0" borderId="4" xfId="0" applyNumberFormat="1" applyFont="1" applyFill="1" applyBorder="1" applyAlignment="1">
      <alignment horizontal="center"/>
    </xf>
    <xf numFmtId="43" fontId="37" fillId="0" borderId="3" xfId="0" applyNumberFormat="1" applyFont="1" applyFill="1" applyBorder="1"/>
    <xf numFmtId="43" fontId="3" fillId="0" borderId="3" xfId="1" applyNumberFormat="1" applyFont="1" applyFill="1" applyBorder="1" applyAlignment="1"/>
    <xf numFmtId="43" fontId="14" fillId="0" borderId="3" xfId="0" applyNumberFormat="1" applyFont="1" applyFill="1" applyBorder="1"/>
    <xf numFmtId="0" fontId="36" fillId="0" borderId="4" xfId="0" applyFont="1" applyFill="1" applyBorder="1" applyAlignment="1">
      <alignment horizontal="left"/>
    </xf>
    <xf numFmtId="0" fontId="37" fillId="0" borderId="0" xfId="0" applyFont="1" applyFill="1" applyBorder="1"/>
    <xf numFmtId="43" fontId="37" fillId="0" borderId="1" xfId="1" applyNumberFormat="1" applyFont="1" applyFill="1" applyBorder="1" applyAlignment="1"/>
    <xf numFmtId="43" fontId="37" fillId="0" borderId="9" xfId="0" applyNumberFormat="1" applyFont="1" applyFill="1" applyBorder="1"/>
    <xf numFmtId="43" fontId="3" fillId="0" borderId="8" xfId="1" applyNumberFormat="1" applyFont="1" applyFill="1" applyBorder="1" applyAlignment="1"/>
    <xf numFmtId="43" fontId="3" fillId="0" borderId="8" xfId="1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3" fontId="37" fillId="0" borderId="8" xfId="0" applyNumberFormat="1" applyFont="1" applyFill="1" applyBorder="1"/>
    <xf numFmtId="43" fontId="14" fillId="0" borderId="1" xfId="1" applyNumberFormat="1" applyFont="1" applyFill="1" applyBorder="1"/>
    <xf numFmtId="43" fontId="14" fillId="0" borderId="1" xfId="1" applyNumberFormat="1" applyFont="1" applyFill="1" applyBorder="1" applyAlignment="1">
      <alignment horizontal="center"/>
    </xf>
    <xf numFmtId="0" fontId="13" fillId="0" borderId="3" xfId="0" applyFont="1" applyFill="1" applyBorder="1"/>
    <xf numFmtId="0" fontId="13" fillId="0" borderId="4" xfId="0" applyFont="1" applyFill="1" applyBorder="1"/>
    <xf numFmtId="0" fontId="14" fillId="0" borderId="2" xfId="0" applyFont="1" applyFill="1" applyBorder="1"/>
    <xf numFmtId="43" fontId="14" fillId="0" borderId="1" xfId="1" applyNumberFormat="1" applyFont="1" applyFill="1" applyBorder="1" applyAlignment="1"/>
    <xf numFmtId="43" fontId="3" fillId="0" borderId="3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38" fillId="0" borderId="4" xfId="0" applyFont="1" applyFill="1" applyBorder="1"/>
    <xf numFmtId="0" fontId="39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0" fillId="0" borderId="0" xfId="0" applyFont="1" applyFill="1" applyBorder="1"/>
    <xf numFmtId="0" fontId="43" fillId="0" borderId="0" xfId="0" applyFont="1" applyFill="1"/>
    <xf numFmtId="43" fontId="43" fillId="0" borderId="0" xfId="1" applyFont="1" applyFill="1"/>
    <xf numFmtId="0" fontId="43" fillId="0" borderId="0" xfId="0" applyFont="1" applyFill="1" applyBorder="1"/>
    <xf numFmtId="43" fontId="45" fillId="0" borderId="1" xfId="1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43" fontId="45" fillId="0" borderId="3" xfId="1" applyNumberFormat="1" applyFont="1" applyFill="1" applyBorder="1"/>
    <xf numFmtId="43" fontId="45" fillId="0" borderId="3" xfId="1" applyFont="1" applyFill="1" applyBorder="1"/>
    <xf numFmtId="0" fontId="45" fillId="0" borderId="8" xfId="0" applyFont="1" applyFill="1" applyBorder="1"/>
    <xf numFmtId="0" fontId="45" fillId="0" borderId="0" xfId="0" applyFont="1" applyFill="1" applyBorder="1" applyAlignment="1">
      <alignment horizontal="center"/>
    </xf>
    <xf numFmtId="0" fontId="45" fillId="0" borderId="2" xfId="0" applyFont="1" applyFill="1" applyBorder="1"/>
    <xf numFmtId="43" fontId="46" fillId="0" borderId="1" xfId="1" applyFont="1" applyFill="1" applyBorder="1"/>
    <xf numFmtId="0" fontId="46" fillId="0" borderId="0" xfId="0" applyFont="1" applyFill="1"/>
    <xf numFmtId="43" fontId="46" fillId="0" borderId="0" xfId="1" applyFont="1" applyFill="1"/>
    <xf numFmtId="0" fontId="45" fillId="0" borderId="9" xfId="0" applyFont="1" applyFill="1" applyBorder="1" applyAlignment="1">
      <alignment horizontal="center"/>
    </xf>
    <xf numFmtId="0" fontId="47" fillId="0" borderId="0" xfId="0" applyFont="1" applyFill="1" applyBorder="1"/>
    <xf numFmtId="43" fontId="44" fillId="0" borderId="1" xfId="1" applyFont="1" applyFill="1" applyBorder="1"/>
    <xf numFmtId="0" fontId="45" fillId="0" borderId="15" xfId="0" applyFont="1" applyFill="1" applyBorder="1" applyAlignment="1">
      <alignment horizontal="center"/>
    </xf>
    <xf numFmtId="43" fontId="44" fillId="0" borderId="0" xfId="1" applyFont="1" applyFill="1" applyBorder="1"/>
    <xf numFmtId="43" fontId="45" fillId="0" borderId="0" xfId="1" applyFont="1" applyFill="1" applyBorder="1"/>
    <xf numFmtId="43" fontId="43" fillId="0" borderId="3" xfId="1" applyFont="1" applyFill="1" applyBorder="1"/>
    <xf numFmtId="0" fontId="45" fillId="0" borderId="4" xfId="0" applyFont="1" applyFill="1" applyBorder="1" applyAlignment="1">
      <alignment horizontal="center"/>
    </xf>
    <xf numFmtId="43" fontId="44" fillId="0" borderId="15" xfId="1" applyFont="1" applyFill="1" applyBorder="1"/>
    <xf numFmtId="43" fontId="45" fillId="0" borderId="15" xfId="1" applyFont="1" applyFill="1" applyBorder="1"/>
    <xf numFmtId="0" fontId="47" fillId="0" borderId="10" xfId="0" applyFont="1" applyFill="1" applyBorder="1"/>
    <xf numFmtId="187" fontId="48" fillId="0" borderId="3" xfId="1" applyNumberFormat="1" applyFont="1" applyBorder="1"/>
    <xf numFmtId="43" fontId="49" fillId="0" borderId="3" xfId="1" applyFont="1" applyFill="1" applyBorder="1"/>
    <xf numFmtId="43" fontId="6" fillId="0" borderId="0" xfId="1" applyFont="1" applyFill="1"/>
    <xf numFmtId="43" fontId="1" fillId="0" borderId="16" xfId="0" applyNumberFormat="1" applyFont="1" applyFill="1" applyBorder="1"/>
    <xf numFmtId="0" fontId="3" fillId="0" borderId="3" xfId="0" applyFont="1" applyFill="1" applyBorder="1"/>
    <xf numFmtId="43" fontId="44" fillId="0" borderId="17" xfId="1" applyFont="1" applyFill="1" applyBorder="1"/>
    <xf numFmtId="43" fontId="50" fillId="0" borderId="17" xfId="1" applyFont="1" applyFill="1" applyBorder="1"/>
    <xf numFmtId="49" fontId="3" fillId="0" borderId="8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shrinkToFit="1"/>
    </xf>
    <xf numFmtId="43" fontId="6" fillId="0" borderId="8" xfId="1" applyFont="1" applyFill="1" applyBorder="1"/>
    <xf numFmtId="0" fontId="6" fillId="0" borderId="7" xfId="0" applyFont="1" applyFill="1" applyBorder="1" applyAlignment="1">
      <alignment horizontal="left" shrinkToFit="1"/>
    </xf>
    <xf numFmtId="0" fontId="11" fillId="0" borderId="5" xfId="0" applyFont="1" applyFill="1" applyBorder="1"/>
    <xf numFmtId="0" fontId="11" fillId="0" borderId="6" xfId="0" applyFont="1" applyFill="1" applyBorder="1"/>
    <xf numFmtId="0" fontId="12" fillId="0" borderId="7" xfId="0" applyFont="1" applyFill="1" applyBorder="1"/>
    <xf numFmtId="0" fontId="11" fillId="0" borderId="12" xfId="0" applyFont="1" applyFill="1" applyBorder="1"/>
    <xf numFmtId="0" fontId="2" fillId="0" borderId="7" xfId="0" applyFont="1" applyFill="1" applyBorder="1"/>
    <xf numFmtId="0" fontId="6" fillId="0" borderId="7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0" fillId="0" borderId="10" xfId="0" applyFont="1" applyFill="1" applyBorder="1" applyAlignment="1">
      <alignment horizontal="center"/>
    </xf>
    <xf numFmtId="0" fontId="40" fillId="0" borderId="15" xfId="0" applyFont="1" applyFill="1" applyBorder="1" applyAlignment="1">
      <alignment horizontal="center"/>
    </xf>
    <xf numFmtId="0" fontId="40" fillId="0" borderId="11" xfId="0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/>
    </xf>
    <xf numFmtId="0" fontId="39" fillId="0" borderId="15" xfId="0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41" fillId="0" borderId="10" xfId="0" applyFont="1" applyFill="1" applyBorder="1" applyAlignment="1">
      <alignment horizontal="center"/>
    </xf>
    <xf numFmtId="0" fontId="41" fillId="0" borderId="15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 shrinkToFit="1"/>
    </xf>
    <xf numFmtId="0" fontId="45" fillId="0" borderId="2" xfId="0" applyFont="1" applyFill="1" applyBorder="1" applyAlignment="1">
      <alignment horizontal="left" shrinkToFit="1"/>
    </xf>
    <xf numFmtId="0" fontId="45" fillId="0" borderId="4" xfId="0" applyFont="1" applyFill="1" applyBorder="1" applyAlignment="1">
      <alignment horizontal="left" shrinkToFit="1"/>
    </xf>
    <xf numFmtId="0" fontId="42" fillId="0" borderId="0" xfId="0" applyFont="1" applyFill="1" applyAlignment="1">
      <alignment horizontal="center"/>
    </xf>
    <xf numFmtId="0" fontId="45" fillId="0" borderId="12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/>
    </xf>
    <xf numFmtId="0" fontId="46" fillId="0" borderId="12" xfId="0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/>
    </xf>
    <xf numFmtId="0" fontId="46" fillId="0" borderId="13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6" fillId="0" borderId="18" xfId="0" applyFont="1" applyFill="1" applyBorder="1" applyAlignment="1">
      <alignment horizontal="center"/>
    </xf>
    <xf numFmtId="0" fontId="46" fillId="0" borderId="16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4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view="pageBreakPreview" topLeftCell="A13" workbookViewId="0">
      <selection activeCell="D21" sqref="D21"/>
    </sheetView>
  </sheetViews>
  <sheetFormatPr defaultRowHeight="21.75"/>
  <cols>
    <col min="1" max="1" width="6.42578125" style="3" customWidth="1"/>
    <col min="2" max="2" width="37.85546875" style="3" customWidth="1"/>
    <col min="3" max="4" width="16.7109375" style="3" customWidth="1"/>
    <col min="5" max="5" width="4.7109375" style="3" customWidth="1"/>
    <col min="6" max="6" width="16.7109375" style="3" customWidth="1"/>
    <col min="7" max="7" width="12.42578125" style="3" bestFit="1" customWidth="1"/>
    <col min="8" max="8" width="15.7109375" style="3" customWidth="1"/>
    <col min="9" max="16384" width="9.140625" style="3"/>
  </cols>
  <sheetData>
    <row r="1" spans="1:8" ht="23.25">
      <c r="A1" s="239" t="s">
        <v>312</v>
      </c>
      <c r="B1" s="239"/>
      <c r="C1" s="239"/>
      <c r="D1" s="239"/>
      <c r="E1" s="239"/>
      <c r="F1" s="239"/>
    </row>
    <row r="2" spans="1:8" ht="23.25">
      <c r="A2" s="239" t="s">
        <v>313</v>
      </c>
      <c r="B2" s="239"/>
      <c r="C2" s="239"/>
      <c r="D2" s="239"/>
      <c r="E2" s="239"/>
      <c r="F2" s="239"/>
    </row>
    <row r="3" spans="1:8">
      <c r="A3" s="198" t="s">
        <v>316</v>
      </c>
      <c r="B3" s="198"/>
      <c r="C3" s="198"/>
      <c r="D3" s="198"/>
      <c r="E3" s="198"/>
      <c r="F3" s="198"/>
    </row>
    <row r="4" spans="1:8" ht="23.25">
      <c r="A4" s="240" t="s">
        <v>314</v>
      </c>
      <c r="B4" s="240"/>
      <c r="C4" s="241"/>
      <c r="D4" s="241"/>
      <c r="E4" s="241"/>
      <c r="F4" s="190"/>
    </row>
    <row r="5" spans="1:8">
      <c r="A5" s="192" t="s">
        <v>34</v>
      </c>
      <c r="B5" s="193"/>
      <c r="C5" s="196" t="s">
        <v>35</v>
      </c>
      <c r="D5" s="196" t="s">
        <v>36</v>
      </c>
      <c r="E5" s="34" t="s">
        <v>37</v>
      </c>
      <c r="F5" s="34" t="s">
        <v>38</v>
      </c>
    </row>
    <row r="6" spans="1:8">
      <c r="A6" s="194"/>
      <c r="B6" s="195"/>
      <c r="C6" s="197"/>
      <c r="D6" s="197"/>
      <c r="E6" s="35" t="s">
        <v>6</v>
      </c>
      <c r="F6" s="35" t="s">
        <v>39</v>
      </c>
    </row>
    <row r="7" spans="1:8" s="33" customFormat="1" ht="21">
      <c r="A7" s="109" t="s">
        <v>65</v>
      </c>
      <c r="B7" s="110"/>
      <c r="C7" s="111">
        <f>C8+C12+C23+C26+C29+C33</f>
        <v>590020</v>
      </c>
      <c r="D7" s="111">
        <f>D8+D12+D23+D26+D29+D33</f>
        <v>1359653.75</v>
      </c>
      <c r="E7" s="112" t="s">
        <v>295</v>
      </c>
      <c r="F7" s="111">
        <f>C7-D7</f>
        <v>-769633.75</v>
      </c>
    </row>
    <row r="8" spans="1:8">
      <c r="A8" s="113" t="s">
        <v>40</v>
      </c>
      <c r="B8" s="114"/>
      <c r="C8" s="115">
        <f>SUM(C9:C11)</f>
        <v>167000</v>
      </c>
      <c r="D8" s="115">
        <f>D9+D10+D11</f>
        <v>241478.93999999994</v>
      </c>
      <c r="E8" s="116" t="s">
        <v>295</v>
      </c>
      <c r="F8" s="117">
        <f t="shared" ref="F8:F55" si="0">C8-D8</f>
        <v>-74478.939999999944</v>
      </c>
      <c r="H8" s="13"/>
    </row>
    <row r="9" spans="1:8">
      <c r="A9" s="16"/>
      <c r="B9" s="15" t="s">
        <v>41</v>
      </c>
      <c r="C9" s="118">
        <v>42000</v>
      </c>
      <c r="D9" s="118">
        <f>2760.42+38763.25+424</f>
        <v>41947.67</v>
      </c>
      <c r="E9" s="119" t="s">
        <v>42</v>
      </c>
      <c r="F9" s="120">
        <f t="shared" si="0"/>
        <v>52.330000000001746</v>
      </c>
    </row>
    <row r="10" spans="1:8">
      <c r="A10" s="16"/>
      <c r="B10" s="15" t="s">
        <v>43</v>
      </c>
      <c r="C10" s="118">
        <v>120000</v>
      </c>
      <c r="D10" s="118">
        <f>14543.49+211.82+680.85+6264.71+39025.61+53599.36+34373.58+10394.31+4960.86+6319+1641.16+22132.52</f>
        <v>194147.26999999996</v>
      </c>
      <c r="E10" s="119" t="s">
        <v>295</v>
      </c>
      <c r="F10" s="120">
        <f t="shared" si="0"/>
        <v>-74147.26999999996</v>
      </c>
    </row>
    <row r="11" spans="1:8">
      <c r="A11" s="16"/>
      <c r="B11" s="15" t="s">
        <v>44</v>
      </c>
      <c r="C11" s="118">
        <v>5000</v>
      </c>
      <c r="D11" s="118">
        <v>5384</v>
      </c>
      <c r="E11" s="17" t="s">
        <v>295</v>
      </c>
      <c r="F11" s="120">
        <f t="shared" si="0"/>
        <v>-384</v>
      </c>
    </row>
    <row r="12" spans="1:8">
      <c r="A12" s="113" t="s">
        <v>48</v>
      </c>
      <c r="B12" s="15"/>
      <c r="C12" s="115">
        <f>SUM(C13:C22)</f>
        <v>12020</v>
      </c>
      <c r="D12" s="115">
        <f>SUM(D13:D21)</f>
        <v>80564</v>
      </c>
      <c r="E12" s="116" t="s">
        <v>295</v>
      </c>
      <c r="F12" s="117">
        <f t="shared" si="0"/>
        <v>-68544</v>
      </c>
    </row>
    <row r="13" spans="1:8" s="32" customFormat="1">
      <c r="A13" s="16"/>
      <c r="B13" s="15" t="s">
        <v>199</v>
      </c>
      <c r="C13" s="118">
        <v>20</v>
      </c>
      <c r="D13" s="121">
        <v>40</v>
      </c>
      <c r="E13" s="119" t="s">
        <v>295</v>
      </c>
      <c r="F13" s="120">
        <f t="shared" si="0"/>
        <v>-20</v>
      </c>
    </row>
    <row r="14" spans="1:8">
      <c r="A14" s="16"/>
      <c r="B14" s="15" t="s">
        <v>108</v>
      </c>
      <c r="C14" s="118">
        <v>1000</v>
      </c>
      <c r="D14" s="121">
        <f>70+50+50+50+50+70+130</f>
        <v>470</v>
      </c>
      <c r="E14" s="119" t="s">
        <v>42</v>
      </c>
      <c r="F14" s="120">
        <f t="shared" si="0"/>
        <v>530</v>
      </c>
    </row>
    <row r="15" spans="1:8">
      <c r="A15" s="16"/>
      <c r="B15" s="15" t="s">
        <v>200</v>
      </c>
      <c r="C15" s="118">
        <v>0</v>
      </c>
      <c r="D15" s="121">
        <v>10</v>
      </c>
      <c r="E15" s="119" t="s">
        <v>295</v>
      </c>
      <c r="F15" s="120">
        <f t="shared" si="0"/>
        <v>-10</v>
      </c>
    </row>
    <row r="16" spans="1:8">
      <c r="A16" s="16"/>
      <c r="B16" s="15" t="s">
        <v>109</v>
      </c>
      <c r="C16" s="118">
        <v>1000</v>
      </c>
      <c r="D16" s="121">
        <f>1400+800</f>
        <v>2200</v>
      </c>
      <c r="E16" s="119" t="s">
        <v>295</v>
      </c>
      <c r="F16" s="120">
        <f t="shared" si="0"/>
        <v>-1200</v>
      </c>
    </row>
    <row r="17" spans="1:6" s="32" customFormat="1">
      <c r="A17" s="16"/>
      <c r="B17" s="18" t="s">
        <v>201</v>
      </c>
      <c r="C17" s="118">
        <v>0</v>
      </c>
      <c r="D17" s="121">
        <v>0</v>
      </c>
      <c r="E17" s="119" t="s">
        <v>42</v>
      </c>
      <c r="F17" s="120">
        <f t="shared" si="0"/>
        <v>0</v>
      </c>
    </row>
    <row r="18" spans="1:6">
      <c r="A18" s="16"/>
      <c r="B18" s="18" t="s">
        <v>110</v>
      </c>
      <c r="C18" s="118">
        <v>10000</v>
      </c>
      <c r="D18" s="121">
        <f>61904+300+15640</f>
        <v>77844</v>
      </c>
      <c r="E18" s="119" t="s">
        <v>295</v>
      </c>
      <c r="F18" s="120">
        <f t="shared" si="0"/>
        <v>-67844</v>
      </c>
    </row>
    <row r="19" spans="1:6">
      <c r="A19" s="16"/>
      <c r="B19" s="18" t="s">
        <v>202</v>
      </c>
      <c r="C19" s="118">
        <v>0</v>
      </c>
      <c r="D19" s="121">
        <v>0</v>
      </c>
      <c r="E19" s="119" t="s">
        <v>42</v>
      </c>
      <c r="F19" s="120">
        <f t="shared" si="0"/>
        <v>0</v>
      </c>
    </row>
    <row r="20" spans="1:6" s="32" customFormat="1">
      <c r="A20" s="16"/>
      <c r="B20" s="18" t="s">
        <v>203</v>
      </c>
      <c r="C20" s="118">
        <v>0</v>
      </c>
      <c r="D20" s="121">
        <v>0</v>
      </c>
      <c r="E20" s="119" t="s">
        <v>42</v>
      </c>
      <c r="F20" s="120">
        <f t="shared" si="0"/>
        <v>0</v>
      </c>
    </row>
    <row r="21" spans="1:6">
      <c r="A21" s="16"/>
      <c r="B21" s="18" t="s">
        <v>204</v>
      </c>
      <c r="C21" s="118">
        <v>0</v>
      </c>
      <c r="D21" s="121">
        <v>0</v>
      </c>
      <c r="E21" s="119" t="s">
        <v>42</v>
      </c>
      <c r="F21" s="120">
        <f t="shared" si="0"/>
        <v>0</v>
      </c>
    </row>
    <row r="22" spans="1:6">
      <c r="A22" s="16"/>
      <c r="B22" s="18"/>
      <c r="C22" s="118"/>
      <c r="D22" s="121"/>
      <c r="E22" s="17"/>
      <c r="F22" s="122">
        <f t="shared" si="0"/>
        <v>0</v>
      </c>
    </row>
    <row r="23" spans="1:6" s="32" customFormat="1">
      <c r="A23" s="123" t="s">
        <v>49</v>
      </c>
      <c r="B23" s="124"/>
      <c r="C23" s="115">
        <f>SUM(C24:C24)</f>
        <v>70000</v>
      </c>
      <c r="D23" s="115">
        <f>SUM(D24:D24)</f>
        <v>226555.81</v>
      </c>
      <c r="E23" s="116" t="s">
        <v>295</v>
      </c>
      <c r="F23" s="117">
        <f t="shared" si="0"/>
        <v>-156555.81</v>
      </c>
    </row>
    <row r="24" spans="1:6">
      <c r="A24" s="16"/>
      <c r="B24" s="18" t="s">
        <v>50</v>
      </c>
      <c r="C24" s="118">
        <v>70000</v>
      </c>
      <c r="D24" s="121">
        <f>48231.77+21078.47+27378.64+33050.14+18274.52+78542.27</f>
        <v>226555.81</v>
      </c>
      <c r="E24" s="119" t="s">
        <v>295</v>
      </c>
      <c r="F24" s="120">
        <f t="shared" si="0"/>
        <v>-156555.81</v>
      </c>
    </row>
    <row r="25" spans="1:6">
      <c r="A25" s="16"/>
      <c r="B25" s="18"/>
      <c r="C25" s="118"/>
      <c r="D25" s="121"/>
      <c r="E25" s="178"/>
      <c r="F25" s="120">
        <f t="shared" si="0"/>
        <v>0</v>
      </c>
    </row>
    <row r="26" spans="1:6">
      <c r="A26" s="113" t="s">
        <v>205</v>
      </c>
      <c r="B26" s="124"/>
      <c r="C26" s="115">
        <f>SUM(C27)</f>
        <v>320000</v>
      </c>
      <c r="D26" s="125">
        <f>D27</f>
        <v>617355</v>
      </c>
      <c r="E26" s="178" t="s">
        <v>295</v>
      </c>
      <c r="F26" s="117">
        <f t="shared" si="0"/>
        <v>-297355</v>
      </c>
    </row>
    <row r="27" spans="1:6" s="33" customFormat="1">
      <c r="A27" s="16"/>
      <c r="B27" s="15" t="s">
        <v>111</v>
      </c>
      <c r="C27" s="118">
        <v>320000</v>
      </c>
      <c r="D27" s="121">
        <f>40440+62700+38185+45135+43785+35450+35740+77000+35600+87715+67090+48515</f>
        <v>617355</v>
      </c>
      <c r="E27" s="119" t="s">
        <v>295</v>
      </c>
      <c r="F27" s="126">
        <f t="shared" si="0"/>
        <v>-297355</v>
      </c>
    </row>
    <row r="28" spans="1:6" s="33" customFormat="1">
      <c r="A28" s="16"/>
      <c r="B28" s="18"/>
      <c r="C28" s="118"/>
      <c r="D28" s="121"/>
      <c r="E28" s="17"/>
      <c r="F28" s="120"/>
    </row>
    <row r="29" spans="1:6">
      <c r="A29" s="113" t="s">
        <v>51</v>
      </c>
      <c r="B29" s="124"/>
      <c r="C29" s="115">
        <f>SUM(C30:C31)</f>
        <v>21000</v>
      </c>
      <c r="D29" s="125">
        <f>D30+D31</f>
        <v>193700</v>
      </c>
      <c r="E29" s="116" t="s">
        <v>295</v>
      </c>
      <c r="F29" s="126">
        <f t="shared" si="0"/>
        <v>-172700</v>
      </c>
    </row>
    <row r="30" spans="1:6">
      <c r="A30" s="16"/>
      <c r="B30" s="15" t="s">
        <v>52</v>
      </c>
      <c r="C30" s="118">
        <v>20000</v>
      </c>
      <c r="D30" s="121">
        <f>1500+35800+4200+112500</f>
        <v>154000</v>
      </c>
      <c r="E30" s="119" t="s">
        <v>295</v>
      </c>
      <c r="F30" s="126">
        <f t="shared" si="0"/>
        <v>-134000</v>
      </c>
    </row>
    <row r="31" spans="1:6">
      <c r="A31" s="16"/>
      <c r="B31" s="15" t="s">
        <v>206</v>
      </c>
      <c r="C31" s="118">
        <v>1000</v>
      </c>
      <c r="D31" s="121">
        <f>2700+1100+2000+29700+4200</f>
        <v>39700</v>
      </c>
      <c r="E31" s="119" t="s">
        <v>295</v>
      </c>
      <c r="F31" s="120">
        <f t="shared" si="0"/>
        <v>-38700</v>
      </c>
    </row>
    <row r="32" spans="1:6">
      <c r="A32" s="16"/>
      <c r="B32" s="15"/>
      <c r="C32" s="118"/>
      <c r="D32" s="121"/>
      <c r="E32" s="119"/>
      <c r="F32" s="120"/>
    </row>
    <row r="33" spans="1:6">
      <c r="A33" s="113" t="s">
        <v>207</v>
      </c>
      <c r="B33" s="124"/>
      <c r="C33" s="115">
        <f>SUM(C34)</f>
        <v>0</v>
      </c>
      <c r="D33" s="125">
        <f>D34</f>
        <v>0</v>
      </c>
      <c r="E33" s="116" t="s">
        <v>42</v>
      </c>
      <c r="F33" s="126">
        <f>C33-D33</f>
        <v>0</v>
      </c>
    </row>
    <row r="34" spans="1:6">
      <c r="A34" s="16"/>
      <c r="B34" s="15" t="s">
        <v>208</v>
      </c>
      <c r="C34" s="118">
        <v>0</v>
      </c>
      <c r="D34" s="121">
        <v>0</v>
      </c>
      <c r="E34" s="119" t="s">
        <v>42</v>
      </c>
      <c r="F34" s="126">
        <f>C34-D34</f>
        <v>0</v>
      </c>
    </row>
    <row r="35" spans="1:6">
      <c r="A35" s="16"/>
      <c r="B35" s="15"/>
      <c r="C35" s="118"/>
      <c r="D35" s="121"/>
      <c r="E35" s="119"/>
      <c r="F35" s="120"/>
    </row>
    <row r="36" spans="1:6">
      <c r="A36" s="16"/>
      <c r="B36" s="15"/>
      <c r="C36" s="118"/>
      <c r="D36" s="121"/>
      <c r="E36" s="119"/>
      <c r="F36" s="120"/>
    </row>
    <row r="37" spans="1:6">
      <c r="A37" s="16"/>
      <c r="B37" s="15"/>
      <c r="C37" s="118"/>
      <c r="D37" s="121"/>
      <c r="E37" s="119"/>
      <c r="F37" s="120"/>
    </row>
    <row r="38" spans="1:6" s="33" customFormat="1">
      <c r="A38" s="16"/>
      <c r="B38" s="15"/>
      <c r="C38" s="118"/>
      <c r="D38" s="121"/>
      <c r="E38" s="119"/>
      <c r="F38" s="120"/>
    </row>
    <row r="39" spans="1:6">
      <c r="A39" s="16"/>
      <c r="B39" s="15"/>
      <c r="C39" s="118"/>
      <c r="D39" s="121"/>
      <c r="E39" s="119"/>
      <c r="F39" s="120"/>
    </row>
    <row r="40" spans="1:6">
      <c r="A40" s="87"/>
      <c r="B40" s="88"/>
      <c r="C40" s="127"/>
      <c r="D40" s="128"/>
      <c r="E40" s="129"/>
      <c r="F40" s="130"/>
    </row>
    <row r="41" spans="1:6">
      <c r="A41" s="16"/>
      <c r="B41" s="15"/>
      <c r="C41" s="127"/>
      <c r="D41" s="128"/>
      <c r="E41" s="129"/>
      <c r="F41" s="120"/>
    </row>
    <row r="42" spans="1:6">
      <c r="A42" s="109" t="s">
        <v>66</v>
      </c>
      <c r="B42" s="110"/>
      <c r="C42" s="131"/>
      <c r="D42" s="131"/>
      <c r="E42" s="132"/>
      <c r="F42" s="111"/>
    </row>
    <row r="43" spans="1:6">
      <c r="A43" s="133" t="s">
        <v>64</v>
      </c>
      <c r="B43" s="45"/>
      <c r="C43" s="131">
        <f>SUM(C44:C52)</f>
        <v>10937000</v>
      </c>
      <c r="D43" s="131">
        <f>SUM(D44:D53)</f>
        <v>14614611.170000002</v>
      </c>
      <c r="E43" s="36" t="s">
        <v>295</v>
      </c>
      <c r="F43" s="117">
        <f t="shared" si="0"/>
        <v>-3677611.1700000018</v>
      </c>
    </row>
    <row r="44" spans="1:6">
      <c r="A44" s="16"/>
      <c r="B44" s="15" t="s">
        <v>209</v>
      </c>
      <c r="C44" s="118">
        <v>4600000</v>
      </c>
      <c r="D44" s="118">
        <f>592574.85+565573.34+95081.74+1228421.34+2529703.13+548515.99+663869.48+604976.7</f>
        <v>6828716.5700000012</v>
      </c>
      <c r="E44" s="119" t="s">
        <v>295</v>
      </c>
      <c r="F44" s="120">
        <f t="shared" si="0"/>
        <v>-2228716.5700000012</v>
      </c>
    </row>
    <row r="45" spans="1:6">
      <c r="A45" s="16"/>
      <c r="B45" s="15" t="s">
        <v>112</v>
      </c>
      <c r="C45" s="118">
        <v>2400000</v>
      </c>
      <c r="D45" s="118">
        <f>188843.21+300892.09+487185.15+544918.94+500580.08+248821.08+221071.78+251198.41+301152.79</f>
        <v>3044663.5300000003</v>
      </c>
      <c r="E45" s="119" t="s">
        <v>295</v>
      </c>
      <c r="F45" s="120">
        <f t="shared" si="0"/>
        <v>-644663.53000000026</v>
      </c>
    </row>
    <row r="46" spans="1:6">
      <c r="A46" s="16"/>
      <c r="B46" s="15" t="s">
        <v>53</v>
      </c>
      <c r="C46" s="118">
        <v>75000</v>
      </c>
      <c r="D46" s="118">
        <f>66883.44+60993.6</f>
        <v>127877.04000000001</v>
      </c>
      <c r="E46" s="119" t="s">
        <v>295</v>
      </c>
      <c r="F46" s="120">
        <f t="shared" si="0"/>
        <v>-52877.040000000008</v>
      </c>
    </row>
    <row r="47" spans="1:6">
      <c r="A47" s="16"/>
      <c r="B47" s="15" t="s">
        <v>45</v>
      </c>
      <c r="C47" s="118">
        <v>1200000</v>
      </c>
      <c r="D47" s="118">
        <f>92757.71+115256.76+251665.26+216292.98+247368.13+118278-19.4+105792.83+89362.8+95732.81</f>
        <v>1332487.8800000001</v>
      </c>
      <c r="E47" s="119" t="s">
        <v>295</v>
      </c>
      <c r="F47" s="120">
        <f t="shared" si="0"/>
        <v>-132487.88000000012</v>
      </c>
    </row>
    <row r="48" spans="1:6">
      <c r="A48" s="16" t="s">
        <v>14</v>
      </c>
      <c r="B48" s="15" t="s">
        <v>46</v>
      </c>
      <c r="C48" s="118">
        <v>2300000</v>
      </c>
      <c r="D48" s="118">
        <f>239048.88+254365.91+561227.27+479884.27+515546.8+217885.08+236497.34+201380.12+207326.89</f>
        <v>2913162.56</v>
      </c>
      <c r="E48" s="119" t="s">
        <v>295</v>
      </c>
      <c r="F48" s="120">
        <f t="shared" si="0"/>
        <v>-613162.56000000006</v>
      </c>
    </row>
    <row r="49" spans="1:7">
      <c r="A49" s="16"/>
      <c r="B49" s="15" t="s">
        <v>54</v>
      </c>
      <c r="C49" s="118">
        <v>80000</v>
      </c>
      <c r="D49" s="118">
        <v>0</v>
      </c>
      <c r="E49" s="119" t="s">
        <v>42</v>
      </c>
      <c r="F49" s="120">
        <f t="shared" si="0"/>
        <v>80000</v>
      </c>
    </row>
    <row r="50" spans="1:7">
      <c r="A50" s="16"/>
      <c r="B50" s="15" t="s">
        <v>55</v>
      </c>
      <c r="C50" s="118">
        <v>100000</v>
      </c>
      <c r="D50" s="118">
        <f>31243.19+53365.3+36676.17+31297.03+27900.18+32841.37</f>
        <v>213323.24</v>
      </c>
      <c r="E50" s="119" t="s">
        <v>295</v>
      </c>
      <c r="F50" s="120">
        <f t="shared" si="0"/>
        <v>-113323.23999999999</v>
      </c>
    </row>
    <row r="51" spans="1:7">
      <c r="A51" s="16"/>
      <c r="B51" s="15" t="s">
        <v>47</v>
      </c>
      <c r="C51" s="118">
        <v>180000</v>
      </c>
      <c r="D51" s="118">
        <f>3794+7978+6237+16186+1666+21736+17057+36406+15461+24924</f>
        <v>151445</v>
      </c>
      <c r="E51" s="119" t="s">
        <v>42</v>
      </c>
      <c r="F51" s="120">
        <f t="shared" si="0"/>
        <v>28555</v>
      </c>
    </row>
    <row r="52" spans="1:7">
      <c r="A52" s="16"/>
      <c r="B52" s="15" t="s">
        <v>210</v>
      </c>
      <c r="C52" s="118">
        <v>2000</v>
      </c>
      <c r="D52" s="118">
        <f>1020+1255.75</f>
        <v>2275.75</v>
      </c>
      <c r="E52" s="119" t="s">
        <v>295</v>
      </c>
      <c r="F52" s="120">
        <f t="shared" si="0"/>
        <v>-275.75</v>
      </c>
    </row>
    <row r="53" spans="1:7" s="20" customFormat="1" ht="33.75" customHeight="1">
      <c r="A53" s="16"/>
      <c r="B53" s="15" t="s">
        <v>304</v>
      </c>
      <c r="C53" s="118">
        <v>0</v>
      </c>
      <c r="D53" s="118">
        <f>19.4+640.2</f>
        <v>659.6</v>
      </c>
      <c r="E53" s="119" t="s">
        <v>295</v>
      </c>
      <c r="F53" s="130">
        <f t="shared" si="0"/>
        <v>-659.6</v>
      </c>
      <c r="G53" s="19"/>
    </row>
    <row r="54" spans="1:7">
      <c r="A54" s="134" t="s">
        <v>211</v>
      </c>
      <c r="B54" s="135"/>
      <c r="C54" s="136">
        <f>SUM(C55:C67)</f>
        <v>10700000</v>
      </c>
      <c r="D54" s="136">
        <f>SUM(D55)</f>
        <v>10992200.43</v>
      </c>
      <c r="E54" s="36" t="s">
        <v>295</v>
      </c>
      <c r="F54" s="120">
        <f t="shared" si="0"/>
        <v>-292200.4299999997</v>
      </c>
    </row>
    <row r="55" spans="1:7">
      <c r="A55" s="16"/>
      <c r="B55" s="15" t="s">
        <v>62</v>
      </c>
      <c r="C55" s="121">
        <v>10700000</v>
      </c>
      <c r="D55" s="137">
        <f>4430138.43+6562062</f>
        <v>10992200.43</v>
      </c>
      <c r="E55" s="17" t="s">
        <v>295</v>
      </c>
      <c r="F55" s="126">
        <f t="shared" si="0"/>
        <v>-292200.4299999997</v>
      </c>
    </row>
    <row r="56" spans="1:7">
      <c r="A56" s="16"/>
      <c r="B56" s="15"/>
      <c r="C56" s="121"/>
      <c r="D56" s="137"/>
      <c r="E56" s="17"/>
      <c r="F56" s="118"/>
    </row>
    <row r="57" spans="1:7">
      <c r="A57" s="134" t="s">
        <v>212</v>
      </c>
      <c r="B57" s="135"/>
      <c r="C57" s="136"/>
      <c r="D57" s="136">
        <f>SUM(D58:D70)</f>
        <v>8457401.75</v>
      </c>
      <c r="E57" s="36" t="s">
        <v>42</v>
      </c>
      <c r="F57" s="131">
        <v>0</v>
      </c>
    </row>
    <row r="58" spans="1:7">
      <c r="A58" s="134"/>
      <c r="B58" s="15" t="s">
        <v>213</v>
      </c>
      <c r="C58" s="118"/>
      <c r="D58" s="118">
        <f>2403500+474200+2795100</f>
        <v>5672800</v>
      </c>
      <c r="E58" s="17" t="s">
        <v>42</v>
      </c>
      <c r="F58" s="118">
        <f t="shared" ref="F58:F70" si="1">D58</f>
        <v>5672800</v>
      </c>
    </row>
    <row r="59" spans="1:7">
      <c r="A59" s="16"/>
      <c r="B59" s="15" t="s">
        <v>214</v>
      </c>
      <c r="C59" s="118"/>
      <c r="D59" s="118">
        <f>270000+52000+300500</f>
        <v>622500</v>
      </c>
      <c r="E59" s="17" t="s">
        <v>42</v>
      </c>
      <c r="F59" s="118">
        <f t="shared" si="1"/>
        <v>622500</v>
      </c>
    </row>
    <row r="60" spans="1:7">
      <c r="A60" s="16"/>
      <c r="B60" s="15" t="s">
        <v>215</v>
      </c>
      <c r="C60" s="118"/>
      <c r="D60" s="118">
        <f>86490+57660+28830+57660+28830+57660+28830</f>
        <v>345960</v>
      </c>
      <c r="E60" s="17" t="s">
        <v>42</v>
      </c>
      <c r="F60" s="118">
        <f t="shared" si="1"/>
        <v>345960</v>
      </c>
    </row>
    <row r="61" spans="1:7">
      <c r="A61" s="16"/>
      <c r="B61" s="15" t="s">
        <v>216</v>
      </c>
      <c r="C61" s="118"/>
      <c r="D61" s="118">
        <f>48510+32340+16170+32340+16170+32340+16170</f>
        <v>194040</v>
      </c>
      <c r="E61" s="17" t="s">
        <v>42</v>
      </c>
      <c r="F61" s="118">
        <f t="shared" si="1"/>
        <v>194040</v>
      </c>
    </row>
    <row r="62" spans="1:7">
      <c r="A62" s="16"/>
      <c r="B62" s="15" t="s">
        <v>217</v>
      </c>
      <c r="C62" s="118"/>
      <c r="D62" s="118">
        <f>84960+61680+149120+89930+52030+52030</f>
        <v>489750</v>
      </c>
      <c r="E62" s="17" t="s">
        <v>42</v>
      </c>
      <c r="F62" s="118">
        <f t="shared" si="1"/>
        <v>489750</v>
      </c>
    </row>
    <row r="63" spans="1:7">
      <c r="A63" s="16"/>
      <c r="B63" s="15" t="s">
        <v>218</v>
      </c>
      <c r="C63" s="118"/>
      <c r="D63" s="118">
        <f>50040+43320+90880+30070+7970+7970</f>
        <v>230250</v>
      </c>
      <c r="E63" s="17" t="s">
        <v>42</v>
      </c>
      <c r="F63" s="118">
        <f t="shared" si="1"/>
        <v>230250</v>
      </c>
    </row>
    <row r="64" spans="1:7">
      <c r="A64" s="16"/>
      <c r="B64" s="15" t="s">
        <v>219</v>
      </c>
      <c r="C64" s="118"/>
      <c r="D64" s="118">
        <f>5400+4050+1800+3600+1800+3600+1800</f>
        <v>22050</v>
      </c>
      <c r="E64" s="17" t="s">
        <v>42</v>
      </c>
      <c r="F64" s="118">
        <f t="shared" si="1"/>
        <v>22050</v>
      </c>
    </row>
    <row r="65" spans="1:6">
      <c r="A65" s="16"/>
      <c r="B65" s="15" t="s">
        <v>220</v>
      </c>
      <c r="C65" s="118"/>
      <c r="D65" s="118">
        <f>11163.5+160042+21046.25</f>
        <v>192251.75</v>
      </c>
      <c r="E65" s="17" t="s">
        <v>42</v>
      </c>
      <c r="F65" s="118">
        <f t="shared" si="1"/>
        <v>192251.75</v>
      </c>
    </row>
    <row r="66" spans="1:6">
      <c r="A66" s="16"/>
      <c r="B66" s="15" t="s">
        <v>305</v>
      </c>
      <c r="C66" s="118"/>
      <c r="D66" s="118">
        <f>56000+49000</f>
        <v>105000</v>
      </c>
      <c r="E66" s="17" t="s">
        <v>42</v>
      </c>
      <c r="F66" s="118">
        <f t="shared" si="1"/>
        <v>105000</v>
      </c>
    </row>
    <row r="67" spans="1:6">
      <c r="A67" s="16"/>
      <c r="B67" s="15" t="s">
        <v>296</v>
      </c>
      <c r="C67" s="118"/>
      <c r="D67" s="118">
        <v>10000</v>
      </c>
      <c r="E67" s="17" t="s">
        <v>42</v>
      </c>
      <c r="F67" s="118">
        <f t="shared" si="1"/>
        <v>10000</v>
      </c>
    </row>
    <row r="68" spans="1:6">
      <c r="A68" s="16"/>
      <c r="B68" s="15" t="s">
        <v>231</v>
      </c>
      <c r="C68" s="118"/>
      <c r="D68" s="118">
        <v>103800</v>
      </c>
      <c r="E68" s="17" t="s">
        <v>42</v>
      </c>
      <c r="F68" s="118">
        <f t="shared" si="1"/>
        <v>103800</v>
      </c>
    </row>
    <row r="69" spans="1:6">
      <c r="A69" s="16"/>
      <c r="B69" s="15" t="s">
        <v>306</v>
      </c>
      <c r="C69" s="118"/>
      <c r="D69" s="118">
        <v>394000</v>
      </c>
      <c r="E69" s="17" t="s">
        <v>42</v>
      </c>
      <c r="F69" s="118">
        <f t="shared" si="1"/>
        <v>394000</v>
      </c>
    </row>
    <row r="70" spans="1:6">
      <c r="A70" s="16"/>
      <c r="B70" s="15" t="s">
        <v>315</v>
      </c>
      <c r="C70" s="118"/>
      <c r="D70" s="118">
        <v>75000</v>
      </c>
      <c r="E70" s="17"/>
      <c r="F70" s="118">
        <f t="shared" si="1"/>
        <v>75000</v>
      </c>
    </row>
    <row r="71" spans="1:6">
      <c r="A71" s="43" t="s">
        <v>67</v>
      </c>
      <c r="B71" s="44"/>
      <c r="C71" s="136">
        <f>+C7+C43+C54</f>
        <v>22227020</v>
      </c>
      <c r="D71" s="136">
        <f>D7+D43+D54</f>
        <v>26966465.350000001</v>
      </c>
      <c r="E71" s="36" t="s">
        <v>295</v>
      </c>
      <c r="F71" s="131">
        <f>+C71-D71</f>
        <v>-4739445.3500000015</v>
      </c>
    </row>
  </sheetData>
  <mergeCells count="6">
    <mergeCell ref="A5:B6"/>
    <mergeCell ref="C5:C6"/>
    <mergeCell ref="D5:D6"/>
    <mergeCell ref="A1:F1"/>
    <mergeCell ref="A2:F2"/>
    <mergeCell ref="A3:F3"/>
  </mergeCells>
  <phoneticPr fontId="15" type="noConversion"/>
  <pageMargins left="0.74803149606299213" right="0.47244094488188981" top="0.39370078740157483" bottom="0.19685039370078741" header="0.39370078740157483" footer="0.23622047244094491"/>
  <pageSetup paperSize="9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20"/>
  <sheetViews>
    <sheetView view="pageBreakPreview" topLeftCell="A358" zoomScaleSheetLayoutView="100" workbookViewId="0">
      <selection activeCell="D372" sqref="D372"/>
    </sheetView>
  </sheetViews>
  <sheetFormatPr defaultRowHeight="21.75"/>
  <cols>
    <col min="1" max="1" width="4.85546875" style="46" customWidth="1"/>
    <col min="2" max="2" width="4.140625" style="46" customWidth="1"/>
    <col min="3" max="3" width="65.140625" style="46" customWidth="1"/>
    <col min="4" max="4" width="16.7109375" style="46" customWidth="1"/>
    <col min="5" max="5" width="17" style="46" customWidth="1"/>
    <col min="6" max="6" width="18.42578125" style="46" customWidth="1"/>
    <col min="7" max="7" width="9.140625" style="46"/>
    <col min="8" max="8" width="14.42578125" style="46" customWidth="1"/>
    <col min="9" max="16384" width="9.140625" style="46"/>
  </cols>
  <sheetData>
    <row r="1" spans="1:6" s="1" customFormat="1">
      <c r="A1" s="198" t="s">
        <v>142</v>
      </c>
      <c r="B1" s="198"/>
      <c r="C1" s="198"/>
      <c r="D1" s="198"/>
      <c r="E1" s="198"/>
      <c r="F1" s="198"/>
    </row>
    <row r="2" spans="1:6" s="1" customFormat="1">
      <c r="A2" s="198" t="s">
        <v>221</v>
      </c>
      <c r="B2" s="198"/>
      <c r="C2" s="198"/>
      <c r="D2" s="198"/>
      <c r="E2" s="198"/>
      <c r="F2" s="198"/>
    </row>
    <row r="3" spans="1:6" s="1" customFormat="1">
      <c r="A3" s="198" t="s">
        <v>316</v>
      </c>
      <c r="B3" s="198"/>
      <c r="C3" s="198"/>
      <c r="D3" s="198"/>
      <c r="E3" s="198"/>
      <c r="F3" s="198"/>
    </row>
    <row r="4" spans="1:6" s="1" customFormat="1">
      <c r="A4" s="199"/>
      <c r="B4" s="199"/>
      <c r="C4" s="199"/>
      <c r="D4" s="199"/>
      <c r="E4" s="199"/>
      <c r="F4" s="199"/>
    </row>
    <row r="5" spans="1:6" s="1" customFormat="1">
      <c r="A5" s="209" t="s">
        <v>0</v>
      </c>
      <c r="B5" s="210"/>
      <c r="C5" s="211"/>
      <c r="D5" s="2" t="s">
        <v>1</v>
      </c>
      <c r="E5" s="2" t="s">
        <v>2</v>
      </c>
      <c r="F5" s="2" t="s">
        <v>3</v>
      </c>
    </row>
    <row r="6" spans="1:6" s="1" customFormat="1">
      <c r="A6" s="141" t="s">
        <v>72</v>
      </c>
      <c r="B6" s="55"/>
      <c r="C6" s="56"/>
      <c r="D6" s="5"/>
      <c r="E6" s="5"/>
      <c r="F6" s="5"/>
    </row>
    <row r="7" spans="1:6" s="1" customFormat="1">
      <c r="A7" s="24"/>
      <c r="B7" s="25" t="s">
        <v>26</v>
      </c>
      <c r="C7" s="4"/>
      <c r="D7" s="5"/>
      <c r="E7" s="5"/>
      <c r="F7" s="5"/>
    </row>
    <row r="8" spans="1:6" s="1" customFormat="1">
      <c r="A8" s="24"/>
      <c r="B8" s="7" t="s">
        <v>6</v>
      </c>
      <c r="C8" s="4" t="s">
        <v>27</v>
      </c>
      <c r="D8" s="5">
        <v>115270</v>
      </c>
      <c r="E8" s="5">
        <v>115270</v>
      </c>
      <c r="F8" s="5">
        <f>+D8-E8</f>
        <v>0</v>
      </c>
    </row>
    <row r="9" spans="1:6" s="1" customFormat="1">
      <c r="A9" s="6"/>
      <c r="B9" s="7" t="s">
        <v>6</v>
      </c>
      <c r="C9" s="4" t="s">
        <v>28</v>
      </c>
      <c r="D9" s="5">
        <v>108000</v>
      </c>
      <c r="E9" s="5">
        <v>92016</v>
      </c>
      <c r="F9" s="5">
        <f t="shared" ref="F9:F16" si="0">+D9-E9</f>
        <v>15984</v>
      </c>
    </row>
    <row r="10" spans="1:6" s="1" customFormat="1">
      <c r="A10" s="6"/>
      <c r="B10" s="7" t="s">
        <v>6</v>
      </c>
      <c r="C10" s="4" t="s">
        <v>140</v>
      </c>
      <c r="D10" s="5">
        <v>95000</v>
      </c>
      <c r="E10" s="5">
        <v>95000</v>
      </c>
      <c r="F10" s="5">
        <f t="shared" si="0"/>
        <v>0</v>
      </c>
    </row>
    <row r="11" spans="1:6" s="1" customFormat="1">
      <c r="A11" s="6"/>
      <c r="B11" s="7" t="s">
        <v>6</v>
      </c>
      <c r="C11" s="4" t="s">
        <v>80</v>
      </c>
      <c r="D11" s="5">
        <v>345000</v>
      </c>
      <c r="E11" s="5">
        <v>120000</v>
      </c>
      <c r="F11" s="5">
        <f t="shared" si="0"/>
        <v>225000</v>
      </c>
    </row>
    <row r="12" spans="1:6" s="1" customFormat="1">
      <c r="A12" s="6"/>
      <c r="B12" s="7" t="s">
        <v>6</v>
      </c>
      <c r="C12" s="4" t="s">
        <v>143</v>
      </c>
      <c r="D12" s="5">
        <v>35000</v>
      </c>
      <c r="E12" s="5">
        <v>35000</v>
      </c>
      <c r="F12" s="5">
        <f t="shared" si="0"/>
        <v>0</v>
      </c>
    </row>
    <row r="13" spans="1:6" s="1" customFormat="1">
      <c r="A13" s="6"/>
      <c r="B13" s="25" t="s">
        <v>29</v>
      </c>
      <c r="C13" s="4"/>
      <c r="D13" s="5">
        <f>507000-35000-20000-15000-30000-194000</f>
        <v>213000</v>
      </c>
      <c r="E13" s="5">
        <v>172905</v>
      </c>
      <c r="F13" s="5">
        <f t="shared" si="0"/>
        <v>40095</v>
      </c>
    </row>
    <row r="14" spans="1:6" s="1" customFormat="1">
      <c r="A14" s="6"/>
      <c r="B14" s="25" t="s">
        <v>86</v>
      </c>
      <c r="C14" s="4"/>
      <c r="D14" s="5"/>
      <c r="E14" s="5"/>
      <c r="F14" s="5"/>
    </row>
    <row r="15" spans="1:6" s="1" customFormat="1">
      <c r="A15" s="6"/>
      <c r="B15" s="7" t="s">
        <v>6</v>
      </c>
      <c r="C15" s="4" t="s">
        <v>87</v>
      </c>
      <c r="D15" s="5">
        <v>48000</v>
      </c>
      <c r="E15" s="5">
        <v>0</v>
      </c>
      <c r="F15" s="5">
        <f t="shared" si="0"/>
        <v>48000</v>
      </c>
    </row>
    <row r="16" spans="1:6" s="1" customFormat="1">
      <c r="A16" s="6"/>
      <c r="B16" s="7" t="s">
        <v>6</v>
      </c>
      <c r="C16" s="4" t="s">
        <v>88</v>
      </c>
      <c r="D16" s="5">
        <v>72000</v>
      </c>
      <c r="E16" s="5">
        <v>57000</v>
      </c>
      <c r="F16" s="5">
        <f t="shared" si="0"/>
        <v>15000</v>
      </c>
    </row>
    <row r="17" spans="1:8" s="1" customFormat="1">
      <c r="A17" s="10"/>
      <c r="B17" s="7"/>
      <c r="C17" s="4"/>
      <c r="D17" s="11"/>
      <c r="E17" s="11"/>
      <c r="F17" s="5"/>
    </row>
    <row r="18" spans="1:8" s="1" customFormat="1">
      <c r="A18" s="206" t="s">
        <v>73</v>
      </c>
      <c r="B18" s="207"/>
      <c r="C18" s="208"/>
      <c r="D18" s="61">
        <f>SUM(D8:D17)</f>
        <v>1031270</v>
      </c>
      <c r="E18" s="61">
        <f>SUM(E8:E17)</f>
        <v>687191</v>
      </c>
      <c r="F18" s="61">
        <f>SUM(F8:F17)</f>
        <v>344079</v>
      </c>
    </row>
    <row r="19" spans="1:8">
      <c r="A19" s="203" t="s">
        <v>4</v>
      </c>
      <c r="B19" s="204"/>
      <c r="C19" s="205"/>
      <c r="D19" s="21"/>
      <c r="E19" s="21"/>
      <c r="F19" s="21"/>
    </row>
    <row r="20" spans="1:8">
      <c r="A20" s="24" t="s">
        <v>5</v>
      </c>
      <c r="B20" s="25"/>
      <c r="C20" s="26"/>
      <c r="D20" s="5"/>
      <c r="E20" s="5"/>
      <c r="F20" s="5"/>
    </row>
    <row r="21" spans="1:8">
      <c r="A21" s="24"/>
      <c r="B21" s="25" t="s">
        <v>118</v>
      </c>
      <c r="C21" s="26"/>
      <c r="D21" s="5"/>
      <c r="E21" s="5"/>
      <c r="F21" s="5"/>
    </row>
    <row r="22" spans="1:8">
      <c r="A22" s="27"/>
      <c r="B22" s="57"/>
      <c r="C22" s="58" t="s">
        <v>119</v>
      </c>
      <c r="D22" s="5"/>
      <c r="E22" s="5"/>
      <c r="F22" s="5"/>
    </row>
    <row r="23" spans="1:8" s="1" customFormat="1">
      <c r="A23" s="6"/>
      <c r="B23" s="7" t="s">
        <v>42</v>
      </c>
      <c r="C23" s="4" t="s">
        <v>113</v>
      </c>
      <c r="D23" s="5">
        <f>514080-50000</f>
        <v>464080</v>
      </c>
      <c r="E23" s="5">
        <v>463428.77</v>
      </c>
      <c r="F23" s="5">
        <f t="shared" ref="F23:F36" si="1">+D23-E23</f>
        <v>651.22999999998137</v>
      </c>
    </row>
    <row r="24" spans="1:8" s="1" customFormat="1">
      <c r="A24" s="6"/>
      <c r="B24" s="7" t="s">
        <v>42</v>
      </c>
      <c r="C24" s="4" t="s">
        <v>114</v>
      </c>
      <c r="D24" s="5">
        <f>42120</f>
        <v>42120</v>
      </c>
      <c r="E24" s="5">
        <v>38055.42</v>
      </c>
      <c r="F24" s="5">
        <f t="shared" si="1"/>
        <v>4064.5800000000017</v>
      </c>
    </row>
    <row r="25" spans="1:8" s="1" customFormat="1">
      <c r="A25" s="6"/>
      <c r="B25" s="7" t="s">
        <v>42</v>
      </c>
      <c r="C25" s="4" t="s">
        <v>116</v>
      </c>
      <c r="D25" s="5">
        <v>42120</v>
      </c>
      <c r="E25" s="5">
        <v>38055.42</v>
      </c>
      <c r="F25" s="5">
        <f t="shared" si="1"/>
        <v>4064.5800000000017</v>
      </c>
    </row>
    <row r="26" spans="1:8" s="1" customFormat="1">
      <c r="A26" s="6"/>
      <c r="B26" s="7" t="s">
        <v>42</v>
      </c>
      <c r="C26" s="52" t="s">
        <v>115</v>
      </c>
      <c r="D26" s="5">
        <f>86400-12000</f>
        <v>74400</v>
      </c>
      <c r="E26" s="5">
        <v>74160</v>
      </c>
      <c r="F26" s="5">
        <f t="shared" si="1"/>
        <v>240</v>
      </c>
    </row>
    <row r="27" spans="1:8" s="1" customFormat="1">
      <c r="A27" s="10"/>
      <c r="B27" s="100" t="s">
        <v>42</v>
      </c>
      <c r="C27" s="4" t="s">
        <v>117</v>
      </c>
      <c r="D27" s="5">
        <f>1368000-81000</f>
        <v>1287000</v>
      </c>
      <c r="E27" s="5">
        <v>1286569.3999999999</v>
      </c>
      <c r="F27" s="5">
        <f t="shared" si="1"/>
        <v>430.60000000009313</v>
      </c>
    </row>
    <row r="28" spans="1:8" s="1" customFormat="1">
      <c r="A28" s="10"/>
      <c r="B28" s="100"/>
      <c r="C28" s="64" t="s">
        <v>95</v>
      </c>
      <c r="D28" s="65">
        <f>SUM(D23:D27)</f>
        <v>1909720</v>
      </c>
      <c r="E28" s="65">
        <f t="shared" ref="E28:F28" si="2">SUM(E23:E27)</f>
        <v>1900269.0099999998</v>
      </c>
      <c r="F28" s="65">
        <f t="shared" si="2"/>
        <v>9450.990000000078</v>
      </c>
    </row>
    <row r="29" spans="1:8" s="1" customFormat="1">
      <c r="A29" s="6"/>
      <c r="B29" s="7"/>
      <c r="C29" s="58" t="s">
        <v>120</v>
      </c>
      <c r="D29" s="5"/>
      <c r="E29" s="5"/>
      <c r="F29" s="5"/>
    </row>
    <row r="30" spans="1:8" s="1" customFormat="1">
      <c r="A30" s="6"/>
      <c r="B30" s="7" t="s">
        <v>42</v>
      </c>
      <c r="C30" s="4" t="s">
        <v>59</v>
      </c>
      <c r="D30" s="5">
        <f>1625880-10000-10000-10000-19100-14000</f>
        <v>1562780</v>
      </c>
      <c r="E30" s="5">
        <v>1562668</v>
      </c>
      <c r="F30" s="5">
        <f t="shared" si="1"/>
        <v>112</v>
      </c>
    </row>
    <row r="31" spans="1:8" s="1" customFormat="1">
      <c r="A31" s="6"/>
      <c r="B31" s="7" t="s">
        <v>42</v>
      </c>
      <c r="C31" s="4" t="s">
        <v>121</v>
      </c>
      <c r="D31" s="5">
        <f>177360-32000</f>
        <v>145360</v>
      </c>
      <c r="E31" s="5">
        <v>144576</v>
      </c>
      <c r="F31" s="5">
        <f t="shared" si="1"/>
        <v>784</v>
      </c>
    </row>
    <row r="32" spans="1:8" s="1" customFormat="1">
      <c r="A32" s="6"/>
      <c r="B32" s="7" t="s">
        <v>42</v>
      </c>
      <c r="C32" s="4" t="s">
        <v>60</v>
      </c>
      <c r="D32" s="5">
        <f>42000+19100</f>
        <v>61100</v>
      </c>
      <c r="E32" s="5">
        <v>61016</v>
      </c>
      <c r="F32" s="5">
        <f t="shared" si="1"/>
        <v>84</v>
      </c>
      <c r="H32" s="51"/>
    </row>
    <row r="33" spans="1:10" s="1" customFormat="1">
      <c r="A33" s="6"/>
      <c r="B33" s="7" t="s">
        <v>42</v>
      </c>
      <c r="C33" s="4" t="s">
        <v>61</v>
      </c>
      <c r="D33" s="5">
        <v>83970</v>
      </c>
      <c r="E33" s="5">
        <v>79650</v>
      </c>
      <c r="F33" s="5">
        <f t="shared" si="1"/>
        <v>4320</v>
      </c>
      <c r="H33" s="51"/>
    </row>
    <row r="34" spans="1:10" s="1" customFormat="1">
      <c r="A34" s="6"/>
      <c r="B34" s="7" t="s">
        <v>42</v>
      </c>
      <c r="C34" s="4" t="s">
        <v>299</v>
      </c>
      <c r="D34" s="5">
        <f>13500+60000-16000</f>
        <v>57500</v>
      </c>
      <c r="E34" s="5">
        <v>56999</v>
      </c>
      <c r="F34" s="5">
        <f t="shared" si="1"/>
        <v>501</v>
      </c>
      <c r="H34" s="51"/>
    </row>
    <row r="35" spans="1:10" s="1" customFormat="1">
      <c r="A35" s="6"/>
      <c r="B35" s="25"/>
      <c r="C35" s="58" t="s">
        <v>123</v>
      </c>
      <c r="D35" s="5"/>
      <c r="E35" s="5"/>
      <c r="F35" s="5">
        <f t="shared" si="1"/>
        <v>0</v>
      </c>
    </row>
    <row r="36" spans="1:10" s="1" customFormat="1">
      <c r="A36" s="6"/>
      <c r="B36" s="7" t="s">
        <v>42</v>
      </c>
      <c r="C36" s="4" t="s">
        <v>124</v>
      </c>
      <c r="D36" s="5">
        <f>192240-40000-13000</f>
        <v>139240</v>
      </c>
      <c r="E36" s="5">
        <v>138840</v>
      </c>
      <c r="F36" s="5">
        <f t="shared" si="1"/>
        <v>400</v>
      </c>
    </row>
    <row r="37" spans="1:10" s="1" customFormat="1">
      <c r="A37" s="6"/>
      <c r="B37" s="7" t="s">
        <v>42</v>
      </c>
      <c r="C37" s="4" t="s">
        <v>125</v>
      </c>
      <c r="D37" s="5">
        <f>131760-20000-16000</f>
        <v>95760</v>
      </c>
      <c r="E37" s="5">
        <v>95160</v>
      </c>
      <c r="F37" s="5">
        <f>+D37-E37</f>
        <v>600</v>
      </c>
    </row>
    <row r="38" spans="1:10" s="54" customFormat="1">
      <c r="A38" s="62"/>
      <c r="B38" s="63"/>
      <c r="C38" s="64" t="s">
        <v>95</v>
      </c>
      <c r="D38" s="65">
        <f>SUM(D30:D37)</f>
        <v>2145710</v>
      </c>
      <c r="E38" s="65">
        <f>SUM(E30:E37)</f>
        <v>2138909</v>
      </c>
      <c r="F38" s="65">
        <f>SUM(F30:F37)</f>
        <v>6801</v>
      </c>
      <c r="G38" s="9"/>
      <c r="H38" s="9"/>
      <c r="I38" s="9"/>
      <c r="J38" s="9"/>
    </row>
    <row r="39" spans="1:10" s="9" customFormat="1">
      <c r="A39" s="24" t="s">
        <v>128</v>
      </c>
      <c r="B39" s="78"/>
      <c r="C39" s="79"/>
      <c r="D39" s="80"/>
      <c r="E39" s="80"/>
      <c r="F39" s="80"/>
    </row>
    <row r="40" spans="1:10">
      <c r="A40" s="6"/>
      <c r="B40" s="29" t="s">
        <v>19</v>
      </c>
      <c r="C40" s="28"/>
      <c r="D40" s="5"/>
      <c r="E40" s="5"/>
      <c r="F40" s="5"/>
    </row>
    <row r="41" spans="1:10">
      <c r="A41" s="6"/>
      <c r="B41" s="29"/>
      <c r="C41" s="58" t="s">
        <v>11</v>
      </c>
      <c r="D41" s="5"/>
      <c r="E41" s="5"/>
      <c r="F41" s="5"/>
      <c r="H41" s="50"/>
    </row>
    <row r="42" spans="1:10" s="1" customFormat="1">
      <c r="A42" s="6"/>
      <c r="B42" s="7" t="s">
        <v>6</v>
      </c>
      <c r="C42" s="4" t="s">
        <v>320</v>
      </c>
      <c r="D42" s="5">
        <f>200000+780000</f>
        <v>980000</v>
      </c>
      <c r="E42" s="5">
        <v>980000</v>
      </c>
      <c r="F42" s="5">
        <f t="shared" ref="F42:F46" si="3">+D42-E42</f>
        <v>0</v>
      </c>
    </row>
    <row r="43" spans="1:10">
      <c r="A43" s="6"/>
      <c r="B43" s="7" t="s">
        <v>42</v>
      </c>
      <c r="C43" s="4" t="s">
        <v>56</v>
      </c>
      <c r="D43" s="5">
        <f>30000-23000</f>
        <v>7000</v>
      </c>
      <c r="E43" s="5">
        <v>3360</v>
      </c>
      <c r="F43" s="5">
        <f t="shared" si="3"/>
        <v>3640</v>
      </c>
    </row>
    <row r="44" spans="1:10">
      <c r="A44" s="6"/>
      <c r="B44" s="7" t="s">
        <v>6</v>
      </c>
      <c r="C44" s="4" t="s">
        <v>69</v>
      </c>
      <c r="D44" s="5">
        <f>50000-30000</f>
        <v>20000</v>
      </c>
      <c r="E44" s="5">
        <v>19200</v>
      </c>
      <c r="F44" s="5">
        <f t="shared" si="3"/>
        <v>800</v>
      </c>
    </row>
    <row r="45" spans="1:10">
      <c r="A45" s="6"/>
      <c r="B45" s="7" t="s">
        <v>6</v>
      </c>
      <c r="C45" s="4" t="s">
        <v>9</v>
      </c>
      <c r="D45" s="5">
        <f>60000-5000-18000</f>
        <v>37000</v>
      </c>
      <c r="E45" s="5">
        <v>36890</v>
      </c>
      <c r="F45" s="5">
        <f t="shared" si="3"/>
        <v>110</v>
      </c>
    </row>
    <row r="46" spans="1:10">
      <c r="A46" s="6"/>
      <c r="B46" s="7" t="s">
        <v>6</v>
      </c>
      <c r="C46" s="4" t="s">
        <v>10</v>
      </c>
      <c r="D46" s="5">
        <f>100000-10000-25000</f>
        <v>65000</v>
      </c>
      <c r="E46" s="5">
        <v>64233</v>
      </c>
      <c r="F46" s="5">
        <f t="shared" si="3"/>
        <v>767</v>
      </c>
    </row>
    <row r="47" spans="1:10">
      <c r="A47" s="6"/>
      <c r="B47" s="7"/>
      <c r="C47" s="4"/>
      <c r="D47" s="5"/>
      <c r="E47" s="5"/>
      <c r="F47" s="5"/>
    </row>
    <row r="48" spans="1:10">
      <c r="A48" s="6"/>
      <c r="B48" s="7"/>
      <c r="C48" s="4"/>
      <c r="D48" s="5"/>
      <c r="E48" s="5"/>
      <c r="F48" s="5"/>
    </row>
    <row r="49" spans="1:6">
      <c r="A49" s="62"/>
      <c r="B49" s="53"/>
      <c r="C49" s="66" t="s">
        <v>96</v>
      </c>
      <c r="D49" s="67">
        <f>SUM(D42:D46)</f>
        <v>1109000</v>
      </c>
      <c r="E49" s="67">
        <f t="shared" ref="E49:F49" si="4">SUM(E42:E46)</f>
        <v>1103683</v>
      </c>
      <c r="F49" s="67">
        <f t="shared" si="4"/>
        <v>5317</v>
      </c>
    </row>
    <row r="50" spans="1:6">
      <c r="A50" s="6"/>
      <c r="B50" s="7" t="s">
        <v>14</v>
      </c>
      <c r="C50" s="58" t="s">
        <v>12</v>
      </c>
      <c r="D50" s="5"/>
      <c r="E50" s="5"/>
      <c r="F50" s="5"/>
    </row>
    <row r="51" spans="1:6">
      <c r="A51" s="6"/>
      <c r="B51" s="7" t="s">
        <v>6</v>
      </c>
      <c r="C51" s="4" t="s">
        <v>319</v>
      </c>
      <c r="D51" s="5">
        <f>200000+30000+30000+20000+23000</f>
        <v>303000</v>
      </c>
      <c r="E51" s="5">
        <f>288597.5+5000</f>
        <v>293597.5</v>
      </c>
      <c r="F51" s="5">
        <f t="shared" ref="F51:F52" si="5">+D51-E51</f>
        <v>9402.5</v>
      </c>
    </row>
    <row r="52" spans="1:6">
      <c r="A52" s="6"/>
      <c r="B52" s="7" t="s">
        <v>6</v>
      </c>
      <c r="C52" s="4" t="s">
        <v>79</v>
      </c>
      <c r="D52" s="5">
        <f>50000-20000</f>
        <v>30000</v>
      </c>
      <c r="E52" s="5">
        <v>17950</v>
      </c>
      <c r="F52" s="5">
        <f t="shared" si="5"/>
        <v>12050</v>
      </c>
    </row>
    <row r="53" spans="1:6">
      <c r="A53" s="6"/>
      <c r="B53" s="7" t="s">
        <v>42</v>
      </c>
      <c r="C53" s="12" t="s">
        <v>89</v>
      </c>
      <c r="D53" s="5"/>
      <c r="E53" s="5"/>
      <c r="F53" s="5"/>
    </row>
    <row r="54" spans="1:6">
      <c r="A54" s="6"/>
      <c r="B54" s="7"/>
      <c r="C54" s="12" t="s">
        <v>144</v>
      </c>
      <c r="D54" s="5">
        <f>250000-40000-151000</f>
        <v>59000</v>
      </c>
      <c r="E54" s="5">
        <v>58857</v>
      </c>
      <c r="F54" s="5">
        <f t="shared" ref="F54:F60" si="6">+D54-E54</f>
        <v>143</v>
      </c>
    </row>
    <row r="55" spans="1:6">
      <c r="A55" s="6"/>
      <c r="B55" s="7"/>
      <c r="C55" s="12" t="s">
        <v>222</v>
      </c>
      <c r="D55" s="5">
        <v>60000</v>
      </c>
      <c r="E55" s="5">
        <v>56830</v>
      </c>
      <c r="F55" s="5">
        <f t="shared" si="6"/>
        <v>3170</v>
      </c>
    </row>
    <row r="56" spans="1:6">
      <c r="A56" s="6"/>
      <c r="B56" s="7"/>
      <c r="C56" s="12" t="s">
        <v>223</v>
      </c>
      <c r="D56" s="5">
        <f>100000-30000-5000</f>
        <v>65000</v>
      </c>
      <c r="E56" s="5">
        <v>63993.35</v>
      </c>
      <c r="F56" s="5">
        <f t="shared" si="6"/>
        <v>1006.6500000000015</v>
      </c>
    </row>
    <row r="57" spans="1:6" s="1" customFormat="1">
      <c r="A57" s="6"/>
      <c r="B57" s="7"/>
      <c r="C57" s="12" t="s">
        <v>224</v>
      </c>
      <c r="D57" s="5">
        <f>10000-5000</f>
        <v>5000</v>
      </c>
      <c r="E57" s="5">
        <v>1000</v>
      </c>
      <c r="F57" s="5">
        <f t="shared" si="6"/>
        <v>4000</v>
      </c>
    </row>
    <row r="58" spans="1:6" s="1" customFormat="1">
      <c r="A58" s="6"/>
      <c r="B58" s="7"/>
      <c r="C58" s="12" t="s">
        <v>225</v>
      </c>
      <c r="D58" s="5">
        <f>70000+10000</f>
        <v>80000</v>
      </c>
      <c r="E58" s="5">
        <v>79200</v>
      </c>
      <c r="F58" s="5">
        <f t="shared" si="6"/>
        <v>800</v>
      </c>
    </row>
    <row r="59" spans="1:6" s="1" customFormat="1">
      <c r="A59" s="6"/>
      <c r="B59" s="7" t="s">
        <v>42</v>
      </c>
      <c r="C59" s="12" t="s">
        <v>126</v>
      </c>
      <c r="D59" s="5"/>
      <c r="E59" s="5"/>
      <c r="F59" s="5"/>
    </row>
    <row r="60" spans="1:6" s="1" customFormat="1">
      <c r="A60" s="6"/>
      <c r="B60" s="7"/>
      <c r="C60" s="12" t="s">
        <v>127</v>
      </c>
      <c r="D60" s="5">
        <v>40000</v>
      </c>
      <c r="E60" s="5">
        <v>22711.42</v>
      </c>
      <c r="F60" s="5">
        <f t="shared" si="6"/>
        <v>17288.580000000002</v>
      </c>
    </row>
    <row r="61" spans="1:6" s="1" customFormat="1">
      <c r="A61" s="62"/>
      <c r="B61" s="53"/>
      <c r="C61" s="68" t="s">
        <v>97</v>
      </c>
      <c r="D61" s="67">
        <f>SUM(D51:D60)</f>
        <v>642000</v>
      </c>
      <c r="E61" s="67">
        <f t="shared" ref="E61:F61" si="7">SUM(E51:E60)</f>
        <v>594139.27</v>
      </c>
      <c r="F61" s="67">
        <f t="shared" si="7"/>
        <v>47860.73</v>
      </c>
    </row>
    <row r="62" spans="1:6">
      <c r="A62" s="6"/>
      <c r="B62" s="7" t="s">
        <v>14</v>
      </c>
      <c r="C62" s="58" t="s">
        <v>15</v>
      </c>
      <c r="D62" s="5"/>
      <c r="E62" s="5"/>
      <c r="F62" s="5"/>
    </row>
    <row r="63" spans="1:6">
      <c r="A63" s="6"/>
      <c r="B63" s="7" t="s">
        <v>42</v>
      </c>
      <c r="C63" s="4" t="s">
        <v>16</v>
      </c>
      <c r="D63" s="5">
        <f>80000+10000</f>
        <v>90000</v>
      </c>
      <c r="E63" s="5">
        <v>89459</v>
      </c>
      <c r="F63" s="5">
        <f t="shared" ref="F63:F67" si="8">+D63-E63</f>
        <v>541</v>
      </c>
    </row>
    <row r="64" spans="1:6">
      <c r="A64" s="6"/>
      <c r="B64" s="7" t="s">
        <v>6</v>
      </c>
      <c r="C64" s="4" t="s">
        <v>17</v>
      </c>
      <c r="D64" s="5">
        <f>20000+2000</f>
        <v>22000</v>
      </c>
      <c r="E64" s="5">
        <v>15894</v>
      </c>
      <c r="F64" s="5">
        <f t="shared" si="8"/>
        <v>6106</v>
      </c>
    </row>
    <row r="65" spans="1:6">
      <c r="A65" s="6"/>
      <c r="B65" s="7" t="s">
        <v>6</v>
      </c>
      <c r="C65" s="4" t="s">
        <v>77</v>
      </c>
      <c r="D65" s="5">
        <v>90000</v>
      </c>
      <c r="E65" s="5">
        <v>85692</v>
      </c>
      <c r="F65" s="5">
        <f t="shared" si="8"/>
        <v>4308</v>
      </c>
    </row>
    <row r="66" spans="1:6">
      <c r="A66" s="6"/>
      <c r="B66" s="7" t="s">
        <v>6</v>
      </c>
      <c r="C66" s="4" t="s">
        <v>78</v>
      </c>
      <c r="D66" s="5">
        <f>35000+40000</f>
        <v>75000</v>
      </c>
      <c r="E66" s="5">
        <v>74978</v>
      </c>
      <c r="F66" s="5">
        <f t="shared" si="8"/>
        <v>22</v>
      </c>
    </row>
    <row r="67" spans="1:6">
      <c r="A67" s="6" t="s">
        <v>291</v>
      </c>
      <c r="B67" s="7" t="s">
        <v>42</v>
      </c>
      <c r="C67" s="4" t="s">
        <v>292</v>
      </c>
      <c r="D67" s="5">
        <v>15000</v>
      </c>
      <c r="E67" s="5">
        <v>14920</v>
      </c>
      <c r="F67" s="5">
        <f t="shared" si="8"/>
        <v>80</v>
      </c>
    </row>
    <row r="68" spans="1:6">
      <c r="A68" s="74"/>
      <c r="B68" s="75"/>
      <c r="C68" s="66" t="s">
        <v>98</v>
      </c>
      <c r="D68" s="67">
        <f>SUM(D63:D67)</f>
        <v>292000</v>
      </c>
      <c r="E68" s="67">
        <f>SUM(E63:E67)</f>
        <v>280943</v>
      </c>
      <c r="F68" s="67">
        <f>SUM(F63:F67)</f>
        <v>11057</v>
      </c>
    </row>
    <row r="69" spans="1:6">
      <c r="A69" s="6"/>
      <c r="B69" s="55" t="s">
        <v>20</v>
      </c>
      <c r="C69" s="59"/>
      <c r="D69" s="5"/>
      <c r="E69" s="5"/>
      <c r="F69" s="5"/>
    </row>
    <row r="70" spans="1:6" s="1" customFormat="1">
      <c r="A70" s="6"/>
      <c r="B70" s="7" t="s">
        <v>6</v>
      </c>
      <c r="C70" s="4" t="s">
        <v>90</v>
      </c>
      <c r="D70" s="5">
        <f>100000+35000</f>
        <v>135000</v>
      </c>
      <c r="E70" s="5">
        <v>131984.17000000001</v>
      </c>
      <c r="F70" s="5">
        <f>+D70-E70</f>
        <v>3015.8299999999872</v>
      </c>
    </row>
    <row r="71" spans="1:6" s="1" customFormat="1">
      <c r="A71" s="6"/>
      <c r="B71" s="7" t="s">
        <v>6</v>
      </c>
      <c r="C71" s="4" t="s">
        <v>21</v>
      </c>
      <c r="D71" s="5">
        <v>15000</v>
      </c>
      <c r="E71" s="5">
        <v>4862.3500000000004</v>
      </c>
      <c r="F71" s="5">
        <f>+D71-E71</f>
        <v>10137.65</v>
      </c>
    </row>
    <row r="72" spans="1:6">
      <c r="A72" s="6"/>
      <c r="B72" s="7" t="s">
        <v>6</v>
      </c>
      <c r="C72" s="4" t="s">
        <v>22</v>
      </c>
      <c r="D72" s="5">
        <f>10000-2000</f>
        <v>8000</v>
      </c>
      <c r="E72" s="5">
        <v>2245</v>
      </c>
      <c r="F72" s="5">
        <f>+D72-E72</f>
        <v>5755</v>
      </c>
    </row>
    <row r="73" spans="1:6" s="1" customFormat="1">
      <c r="A73" s="6"/>
      <c r="B73" s="7" t="s">
        <v>42</v>
      </c>
      <c r="C73" s="4" t="s">
        <v>57</v>
      </c>
      <c r="D73" s="5">
        <v>40000</v>
      </c>
      <c r="E73" s="5">
        <v>29260</v>
      </c>
      <c r="F73" s="5">
        <f>+D73-E73</f>
        <v>10740</v>
      </c>
    </row>
    <row r="74" spans="1:6" s="1" customFormat="1">
      <c r="A74" s="62"/>
      <c r="B74" s="53"/>
      <c r="C74" s="66" t="s">
        <v>99</v>
      </c>
      <c r="D74" s="67">
        <f>SUM(D70:D73)</f>
        <v>198000</v>
      </c>
      <c r="E74" s="67">
        <f>SUM(E70:E73)</f>
        <v>168351.52000000002</v>
      </c>
      <c r="F74" s="67">
        <f>SUM(F70:F73)</f>
        <v>29648.479999999989</v>
      </c>
    </row>
    <row r="75" spans="1:6" s="1" customFormat="1">
      <c r="A75" s="24" t="s">
        <v>129</v>
      </c>
      <c r="B75" s="25"/>
      <c r="C75" s="28"/>
      <c r="D75" s="5"/>
      <c r="E75" s="5"/>
      <c r="F75" s="5"/>
    </row>
    <row r="76" spans="1:6" s="1" customFormat="1">
      <c r="A76" s="27"/>
      <c r="B76" s="25" t="s">
        <v>33</v>
      </c>
      <c r="C76" s="28"/>
      <c r="D76" s="5"/>
      <c r="E76" s="5"/>
      <c r="F76" s="5"/>
    </row>
    <row r="77" spans="1:6" s="1" customFormat="1">
      <c r="A77" s="27"/>
      <c r="B77" s="55"/>
      <c r="C77" s="58" t="s">
        <v>24</v>
      </c>
      <c r="D77" s="5"/>
      <c r="E77" s="5"/>
      <c r="F77" s="5"/>
    </row>
    <row r="78" spans="1:6" s="1" customFormat="1">
      <c r="A78" s="27"/>
      <c r="B78" s="37" t="s">
        <v>42</v>
      </c>
      <c r="C78" s="38" t="s">
        <v>91</v>
      </c>
      <c r="D78" s="5"/>
      <c r="E78" s="5"/>
      <c r="F78" s="5"/>
    </row>
    <row r="79" spans="1:6" s="1" customFormat="1">
      <c r="A79" s="27"/>
      <c r="B79" s="37"/>
      <c r="C79" s="38" t="s">
        <v>226</v>
      </c>
      <c r="D79" s="5">
        <v>4100</v>
      </c>
      <c r="E79" s="5">
        <v>4100</v>
      </c>
      <c r="F79" s="5">
        <f>+D79-E79</f>
        <v>0</v>
      </c>
    </row>
    <row r="80" spans="1:6" s="1" customFormat="1">
      <c r="A80" s="27"/>
      <c r="B80" s="37"/>
      <c r="C80" s="38" t="s">
        <v>227</v>
      </c>
      <c r="D80" s="5">
        <v>18000</v>
      </c>
      <c r="E80" s="5">
        <v>18000</v>
      </c>
      <c r="F80" s="5">
        <f t="shared" ref="F80:F88" si="9">+D80-E80</f>
        <v>0</v>
      </c>
    </row>
    <row r="81" spans="1:6" s="1" customFormat="1">
      <c r="A81" s="27"/>
      <c r="B81" s="37" t="s">
        <v>42</v>
      </c>
      <c r="C81" s="38" t="s">
        <v>156</v>
      </c>
      <c r="D81" s="5"/>
      <c r="E81" s="5"/>
      <c r="F81" s="5">
        <f t="shared" si="9"/>
        <v>0</v>
      </c>
    </row>
    <row r="82" spans="1:6" s="1" customFormat="1">
      <c r="A82" s="27"/>
      <c r="B82" s="37"/>
      <c r="C82" s="38" t="s">
        <v>228</v>
      </c>
      <c r="D82" s="5">
        <v>10000</v>
      </c>
      <c r="E82" s="5">
        <v>9500</v>
      </c>
      <c r="F82" s="5">
        <f t="shared" si="9"/>
        <v>500</v>
      </c>
    </row>
    <row r="83" spans="1:6" s="1" customFormat="1">
      <c r="A83" s="27"/>
      <c r="B83" s="37" t="s">
        <v>42</v>
      </c>
      <c r="C83" s="38" t="s">
        <v>229</v>
      </c>
      <c r="D83" s="5"/>
      <c r="E83" s="5"/>
      <c r="F83" s="5">
        <f t="shared" si="9"/>
        <v>0</v>
      </c>
    </row>
    <row r="84" spans="1:6" s="1" customFormat="1">
      <c r="A84" s="27"/>
      <c r="B84" s="37"/>
      <c r="C84" s="38" t="s">
        <v>230</v>
      </c>
      <c r="D84" s="5">
        <v>10000</v>
      </c>
      <c r="E84" s="5">
        <v>10000</v>
      </c>
      <c r="F84" s="5">
        <f t="shared" si="9"/>
        <v>0</v>
      </c>
    </row>
    <row r="85" spans="1:6" s="1" customFormat="1">
      <c r="A85" s="27"/>
      <c r="B85" s="37" t="s">
        <v>42</v>
      </c>
      <c r="C85" s="38" t="s">
        <v>231</v>
      </c>
      <c r="D85" s="5"/>
      <c r="E85" s="5"/>
      <c r="F85" s="5">
        <f t="shared" si="9"/>
        <v>0</v>
      </c>
    </row>
    <row r="86" spans="1:6" s="1" customFormat="1">
      <c r="A86" s="27"/>
      <c r="B86" s="37"/>
      <c r="C86" s="38" t="s">
        <v>232</v>
      </c>
      <c r="D86" s="5">
        <v>3600</v>
      </c>
      <c r="E86" s="5">
        <v>3600</v>
      </c>
      <c r="F86" s="5">
        <f t="shared" si="9"/>
        <v>0</v>
      </c>
    </row>
    <row r="87" spans="1:6" s="1" customFormat="1">
      <c r="A87" s="27"/>
      <c r="B87" s="37"/>
      <c r="C87" s="38" t="s">
        <v>233</v>
      </c>
      <c r="D87" s="5">
        <f>10000+10000</f>
        <v>20000</v>
      </c>
      <c r="E87" s="5">
        <v>20000</v>
      </c>
      <c r="F87" s="5">
        <f t="shared" si="9"/>
        <v>0</v>
      </c>
    </row>
    <row r="88" spans="1:6" s="1" customFormat="1">
      <c r="A88" s="27"/>
      <c r="B88" s="37" t="s">
        <v>42</v>
      </c>
      <c r="C88" s="81" t="s">
        <v>130</v>
      </c>
      <c r="D88" s="5">
        <v>70000</v>
      </c>
      <c r="E88" s="5">
        <v>59694.23</v>
      </c>
      <c r="F88" s="5">
        <f t="shared" si="9"/>
        <v>10305.769999999997</v>
      </c>
    </row>
    <row r="89" spans="1:6" s="1" customFormat="1">
      <c r="A89" s="69"/>
      <c r="B89" s="70"/>
      <c r="C89" s="66" t="s">
        <v>102</v>
      </c>
      <c r="D89" s="67">
        <f>SUM(D79:D88)</f>
        <v>135700</v>
      </c>
      <c r="E89" s="67">
        <f t="shared" ref="E89:F89" si="10">SUM(E79:E88)</f>
        <v>124894.23000000001</v>
      </c>
      <c r="F89" s="67">
        <f t="shared" si="10"/>
        <v>10805.769999999997</v>
      </c>
    </row>
    <row r="90" spans="1:6" s="1" customFormat="1" ht="18" customHeight="1">
      <c r="A90" s="24" t="s">
        <v>131</v>
      </c>
      <c r="B90" s="7"/>
      <c r="C90" s="76"/>
      <c r="D90" s="77"/>
      <c r="E90" s="77"/>
      <c r="F90" s="77"/>
    </row>
    <row r="91" spans="1:6" ht="18" customHeight="1">
      <c r="A91" s="60"/>
      <c r="B91" s="55" t="s">
        <v>23</v>
      </c>
      <c r="C91" s="56"/>
      <c r="D91" s="5"/>
      <c r="E91" s="5"/>
      <c r="F91" s="5"/>
    </row>
    <row r="92" spans="1:6">
      <c r="A92" s="6"/>
      <c r="B92" s="7" t="s">
        <v>6</v>
      </c>
      <c r="C92" s="4" t="s">
        <v>132</v>
      </c>
      <c r="D92" s="5"/>
      <c r="E92" s="5"/>
      <c r="F92" s="5">
        <f>+D92-E92</f>
        <v>0</v>
      </c>
    </row>
    <row r="93" spans="1:6">
      <c r="A93" s="6"/>
      <c r="B93" s="7"/>
      <c r="C93" s="4" t="s">
        <v>145</v>
      </c>
      <c r="D93" s="5">
        <v>15000</v>
      </c>
      <c r="E93" s="5">
        <v>15000</v>
      </c>
      <c r="F93" s="5">
        <f>+D93-E93</f>
        <v>0</v>
      </c>
    </row>
    <row r="94" spans="1:6">
      <c r="A94" s="62"/>
      <c r="B94" s="53"/>
      <c r="C94" s="66" t="s">
        <v>100</v>
      </c>
      <c r="D94" s="67">
        <f>SUM(D93:D93)</f>
        <v>15000</v>
      </c>
      <c r="E94" s="67">
        <f>SUM(E93:E93)</f>
        <v>15000</v>
      </c>
      <c r="F94" s="67">
        <f>SUM(F93:F93)</f>
        <v>0</v>
      </c>
    </row>
    <row r="95" spans="1:6">
      <c r="A95" s="24" t="s">
        <v>133</v>
      </c>
      <c r="B95" s="7"/>
      <c r="C95" s="76"/>
      <c r="D95" s="77"/>
      <c r="E95" s="77"/>
      <c r="F95" s="77"/>
    </row>
    <row r="96" spans="1:6">
      <c r="A96" s="24"/>
      <c r="B96" s="55" t="s">
        <v>134</v>
      </c>
      <c r="C96" s="56"/>
      <c r="D96" s="5"/>
      <c r="E96" s="5"/>
      <c r="F96" s="5"/>
    </row>
    <row r="97" spans="1:6">
      <c r="A97" s="24"/>
      <c r="B97" s="37" t="s">
        <v>42</v>
      </c>
      <c r="C97" s="4" t="s">
        <v>135</v>
      </c>
      <c r="D97" s="5">
        <v>25000</v>
      </c>
      <c r="E97" s="5">
        <v>25000</v>
      </c>
      <c r="F97" s="5">
        <f>+D97-E97</f>
        <v>0</v>
      </c>
    </row>
    <row r="98" spans="1:6">
      <c r="A98" s="14"/>
      <c r="B98" s="7"/>
      <c r="C98" s="12"/>
      <c r="D98" s="5"/>
      <c r="E98" s="5"/>
      <c r="F98" s="5"/>
    </row>
    <row r="99" spans="1:6">
      <c r="A99" s="85"/>
      <c r="B99" s="86"/>
      <c r="C99" s="68" t="s">
        <v>101</v>
      </c>
      <c r="D99" s="67">
        <f>SUM(D97:D98)</f>
        <v>25000</v>
      </c>
      <c r="E99" s="67">
        <f>SUM(E97:E98)</f>
        <v>25000</v>
      </c>
      <c r="F99" s="67">
        <f>SUM(F97:F98)</f>
        <v>0</v>
      </c>
    </row>
    <row r="100" spans="1:6" s="49" customFormat="1" ht="23.25">
      <c r="A100" s="200" t="s">
        <v>146</v>
      </c>
      <c r="B100" s="201"/>
      <c r="C100" s="202"/>
      <c r="D100" s="77"/>
      <c r="E100" s="77"/>
      <c r="F100" s="77"/>
    </row>
    <row r="101" spans="1:6" s="49" customFormat="1">
      <c r="A101" s="14"/>
      <c r="B101" s="29" t="s">
        <v>19</v>
      </c>
      <c r="C101" s="82"/>
      <c r="D101" s="77"/>
      <c r="E101" s="77"/>
      <c r="F101" s="77"/>
    </row>
    <row r="102" spans="1:6" s="49" customFormat="1">
      <c r="A102" s="14"/>
      <c r="B102" s="58" t="s">
        <v>11</v>
      </c>
      <c r="C102" s="82"/>
      <c r="D102" s="77"/>
      <c r="E102" s="77"/>
      <c r="F102" s="77"/>
    </row>
    <row r="103" spans="1:6" s="49" customFormat="1">
      <c r="A103" s="14"/>
      <c r="B103" s="7" t="s">
        <v>42</v>
      </c>
      <c r="C103" s="91" t="s">
        <v>147</v>
      </c>
      <c r="D103" s="77"/>
      <c r="E103" s="77"/>
      <c r="F103" s="77"/>
    </row>
    <row r="104" spans="1:6" s="49" customFormat="1">
      <c r="A104" s="14"/>
      <c r="B104" s="7"/>
      <c r="C104" s="91" t="s">
        <v>321</v>
      </c>
      <c r="D104" s="8">
        <f>220000+86000</f>
        <v>306000</v>
      </c>
      <c r="E104" s="8">
        <f>293850+900</f>
        <v>294750</v>
      </c>
      <c r="F104" s="8">
        <f>D104-E104</f>
        <v>11250</v>
      </c>
    </row>
    <row r="105" spans="1:6" s="49" customFormat="1">
      <c r="A105" s="62"/>
      <c r="B105" s="86"/>
      <c r="C105" s="68" t="s">
        <v>96</v>
      </c>
      <c r="D105" s="67">
        <f>SUM(D104:D104)</f>
        <v>306000</v>
      </c>
      <c r="E105" s="67">
        <f>SUM(E104:E104)</f>
        <v>294750</v>
      </c>
      <c r="F105" s="67">
        <f>SUM(F104:F104)</f>
        <v>11250</v>
      </c>
    </row>
    <row r="106" spans="1:6" s="49" customFormat="1">
      <c r="A106" s="14"/>
      <c r="B106" s="58" t="s">
        <v>12</v>
      </c>
      <c r="C106" s="82"/>
      <c r="D106" s="77"/>
      <c r="E106" s="77"/>
      <c r="F106" s="77"/>
    </row>
    <row r="107" spans="1:6" s="49" customFormat="1">
      <c r="A107" s="14"/>
      <c r="B107" s="7" t="s">
        <v>42</v>
      </c>
      <c r="C107" s="12" t="s">
        <v>234</v>
      </c>
      <c r="D107" s="8">
        <f>10000-6000</f>
        <v>4000</v>
      </c>
      <c r="E107" s="77">
        <v>0</v>
      </c>
      <c r="F107" s="8">
        <f t="shared" ref="F107" si="11">D107-E107</f>
        <v>4000</v>
      </c>
    </row>
    <row r="108" spans="1:6" s="49" customFormat="1">
      <c r="A108" s="14"/>
      <c r="B108" s="7" t="s">
        <v>42</v>
      </c>
      <c r="C108" s="12" t="s">
        <v>89</v>
      </c>
      <c r="D108" s="77"/>
      <c r="E108" s="77"/>
      <c r="F108" s="8"/>
    </row>
    <row r="109" spans="1:6" s="49" customFormat="1">
      <c r="A109" s="14"/>
      <c r="B109" s="7"/>
      <c r="C109" s="12" t="s">
        <v>148</v>
      </c>
      <c r="D109" s="8">
        <f>30000-20000</f>
        <v>10000</v>
      </c>
      <c r="E109" s="8">
        <v>0</v>
      </c>
      <c r="F109" s="8">
        <f>D109-E109</f>
        <v>10000</v>
      </c>
    </row>
    <row r="110" spans="1:6" s="49" customFormat="1">
      <c r="A110" s="14"/>
      <c r="B110" s="7"/>
      <c r="C110" s="91" t="s">
        <v>149</v>
      </c>
      <c r="D110" s="8">
        <v>16000</v>
      </c>
      <c r="E110" s="8">
        <v>15921</v>
      </c>
      <c r="F110" s="8">
        <f t="shared" ref="F110:F112" si="12">D110-E110</f>
        <v>79</v>
      </c>
    </row>
    <row r="111" spans="1:6" s="49" customFormat="1">
      <c r="A111" s="14"/>
      <c r="B111" s="7" t="s">
        <v>42</v>
      </c>
      <c r="C111" s="12" t="s">
        <v>126</v>
      </c>
      <c r="D111" s="77"/>
      <c r="E111" s="77"/>
      <c r="F111" s="8"/>
    </row>
    <row r="112" spans="1:6" s="49" customFormat="1">
      <c r="A112" s="14"/>
      <c r="B112" s="7"/>
      <c r="C112" s="12" t="s">
        <v>294</v>
      </c>
      <c r="D112" s="8">
        <v>20000</v>
      </c>
      <c r="E112" s="8">
        <v>14488</v>
      </c>
      <c r="F112" s="8">
        <f t="shared" si="12"/>
        <v>5512</v>
      </c>
    </row>
    <row r="113" spans="1:6" s="49" customFormat="1">
      <c r="A113" s="62"/>
      <c r="B113" s="86"/>
      <c r="C113" s="68" t="s">
        <v>97</v>
      </c>
      <c r="D113" s="67">
        <f>SUM(D107:D112)</f>
        <v>50000</v>
      </c>
      <c r="E113" s="67">
        <f t="shared" ref="E113:F113" si="13">SUM(E107:E112)</f>
        <v>30409</v>
      </c>
      <c r="F113" s="67">
        <f t="shared" si="13"/>
        <v>19591</v>
      </c>
    </row>
    <row r="114" spans="1:6" s="49" customFormat="1">
      <c r="A114" s="14"/>
      <c r="B114" s="58" t="s">
        <v>15</v>
      </c>
      <c r="C114" s="12"/>
      <c r="D114" s="8"/>
      <c r="E114" s="8"/>
      <c r="F114" s="8"/>
    </row>
    <row r="115" spans="1:6" s="49" customFormat="1">
      <c r="A115" s="14"/>
      <c r="B115" s="7" t="s">
        <v>6</v>
      </c>
      <c r="C115" s="12" t="s">
        <v>235</v>
      </c>
      <c r="D115" s="8">
        <v>5000</v>
      </c>
      <c r="E115" s="8">
        <v>5000</v>
      </c>
      <c r="F115" s="8">
        <f>D115-E115</f>
        <v>0</v>
      </c>
    </row>
    <row r="116" spans="1:6" s="49" customFormat="1">
      <c r="A116" s="14"/>
      <c r="B116" s="7" t="s">
        <v>6</v>
      </c>
      <c r="C116" s="4" t="s">
        <v>77</v>
      </c>
      <c r="D116" s="8">
        <v>40000</v>
      </c>
      <c r="E116" s="8">
        <v>34910</v>
      </c>
      <c r="F116" s="8">
        <f>D116-E116</f>
        <v>5090</v>
      </c>
    </row>
    <row r="117" spans="1:6" s="49" customFormat="1">
      <c r="A117" s="62"/>
      <c r="B117" s="86"/>
      <c r="C117" s="68" t="s">
        <v>98</v>
      </c>
      <c r="D117" s="67">
        <f>SUM(D115:D116)</f>
        <v>45000</v>
      </c>
      <c r="E117" s="67">
        <f t="shared" ref="E117:F117" si="14">SUM(E115:E116)</f>
        <v>39910</v>
      </c>
      <c r="F117" s="67">
        <f t="shared" si="14"/>
        <v>5090</v>
      </c>
    </row>
    <row r="118" spans="1:6" s="49" customFormat="1">
      <c r="A118" s="14"/>
      <c r="B118" s="92" t="s">
        <v>24</v>
      </c>
      <c r="C118" s="12"/>
      <c r="D118" s="8"/>
      <c r="E118" s="8"/>
      <c r="F118" s="8"/>
    </row>
    <row r="119" spans="1:6" s="49" customFormat="1">
      <c r="A119" s="14"/>
      <c r="B119" s="7" t="s">
        <v>42</v>
      </c>
      <c r="C119" s="12" t="s">
        <v>151</v>
      </c>
      <c r="D119" s="77"/>
      <c r="E119" s="77"/>
      <c r="F119" s="77"/>
    </row>
    <row r="120" spans="1:6" s="49" customFormat="1">
      <c r="A120" s="14"/>
      <c r="B120" s="7"/>
      <c r="C120" s="12" t="s">
        <v>127</v>
      </c>
      <c r="D120" s="8">
        <v>30000</v>
      </c>
      <c r="E120" s="8">
        <v>26000</v>
      </c>
      <c r="F120" s="8">
        <f>D120-E120</f>
        <v>4000</v>
      </c>
    </row>
    <row r="121" spans="1:6" s="49" customFormat="1">
      <c r="A121" s="62"/>
      <c r="B121" s="86"/>
      <c r="C121" s="68" t="s">
        <v>102</v>
      </c>
      <c r="D121" s="67">
        <f>SUM(D119:D120)</f>
        <v>30000</v>
      </c>
      <c r="E121" s="67">
        <f t="shared" ref="E121" si="15">SUM(E119:E120)</f>
        <v>26000</v>
      </c>
      <c r="F121" s="67">
        <f t="shared" ref="F121" si="16">SUM(F119:F120)</f>
        <v>4000</v>
      </c>
    </row>
    <row r="122" spans="1:6" s="49" customFormat="1">
      <c r="A122" s="6"/>
      <c r="B122" s="142" t="s">
        <v>150</v>
      </c>
      <c r="C122" s="82"/>
      <c r="D122" s="77"/>
      <c r="E122" s="77"/>
      <c r="F122" s="77"/>
    </row>
    <row r="123" spans="1:6" s="49" customFormat="1">
      <c r="A123" s="6"/>
      <c r="B123" s="29" t="s">
        <v>19</v>
      </c>
      <c r="C123" s="82"/>
      <c r="D123" s="77"/>
      <c r="E123" s="77"/>
      <c r="F123" s="77"/>
    </row>
    <row r="124" spans="1:6" s="49" customFormat="1">
      <c r="A124" s="6"/>
      <c r="B124" s="92" t="s">
        <v>12</v>
      </c>
      <c r="C124" s="82"/>
      <c r="D124" s="77"/>
      <c r="E124" s="77"/>
      <c r="F124" s="77"/>
    </row>
    <row r="125" spans="1:6" s="49" customFormat="1">
      <c r="A125" s="6"/>
      <c r="B125" s="7" t="s">
        <v>42</v>
      </c>
      <c r="C125" s="91" t="s">
        <v>13</v>
      </c>
      <c r="D125" s="77"/>
      <c r="E125" s="77"/>
      <c r="F125" s="77"/>
    </row>
    <row r="126" spans="1:6" s="49" customFormat="1">
      <c r="A126" s="6"/>
      <c r="B126" s="7"/>
      <c r="C126" s="91" t="s">
        <v>152</v>
      </c>
      <c r="D126" s="8">
        <f>20000-10000</f>
        <v>10000</v>
      </c>
      <c r="E126" s="8">
        <v>9000</v>
      </c>
      <c r="F126" s="8">
        <f>D126-E126</f>
        <v>1000</v>
      </c>
    </row>
    <row r="127" spans="1:6" s="49" customFormat="1">
      <c r="A127" s="62"/>
      <c r="B127" s="86"/>
      <c r="C127" s="68" t="s">
        <v>97</v>
      </c>
      <c r="D127" s="67">
        <f>SUM(D126:D126)</f>
        <v>10000</v>
      </c>
      <c r="E127" s="67">
        <f>SUM(E126:E126)</f>
        <v>9000</v>
      </c>
      <c r="F127" s="67">
        <f>SUM(F126:F126)</f>
        <v>1000</v>
      </c>
    </row>
    <row r="128" spans="1:6" s="49" customFormat="1">
      <c r="A128" s="6"/>
      <c r="B128" s="58" t="s">
        <v>15</v>
      </c>
      <c r="C128" s="12"/>
      <c r="D128" s="8"/>
      <c r="E128" s="8"/>
      <c r="F128" s="8"/>
    </row>
    <row r="129" spans="1:6" s="49" customFormat="1">
      <c r="A129" s="6"/>
      <c r="B129" s="7" t="s">
        <v>6</v>
      </c>
      <c r="C129" s="4" t="s">
        <v>153</v>
      </c>
      <c r="D129" s="8">
        <f>10000-10000</f>
        <v>0</v>
      </c>
      <c r="E129" s="8">
        <v>0</v>
      </c>
      <c r="F129" s="8">
        <f>D129-E129</f>
        <v>0</v>
      </c>
    </row>
    <row r="130" spans="1:6" s="49" customFormat="1">
      <c r="A130" s="6"/>
      <c r="B130" s="7" t="s">
        <v>6</v>
      </c>
      <c r="C130" s="4" t="s">
        <v>154</v>
      </c>
      <c r="D130" s="8">
        <v>10000</v>
      </c>
      <c r="E130" s="8">
        <v>9610</v>
      </c>
      <c r="F130" s="8">
        <f t="shared" ref="F130:F131" si="17">D130-E130</f>
        <v>390</v>
      </c>
    </row>
    <row r="131" spans="1:6" s="49" customFormat="1">
      <c r="A131" s="6"/>
      <c r="B131" s="7" t="s">
        <v>6</v>
      </c>
      <c r="C131" s="4" t="s">
        <v>155</v>
      </c>
      <c r="D131" s="8">
        <v>10000</v>
      </c>
      <c r="E131" s="8">
        <v>9950</v>
      </c>
      <c r="F131" s="8">
        <f t="shared" si="17"/>
        <v>50</v>
      </c>
    </row>
    <row r="132" spans="1:6" s="49" customFormat="1">
      <c r="A132" s="62"/>
      <c r="B132" s="86"/>
      <c r="C132" s="68" t="s">
        <v>98</v>
      </c>
      <c r="D132" s="67">
        <f>SUM(D129:D131)</f>
        <v>20000</v>
      </c>
      <c r="E132" s="67">
        <f t="shared" ref="E132:F132" si="18">SUM(E129:E131)</f>
        <v>19560</v>
      </c>
      <c r="F132" s="67">
        <f t="shared" si="18"/>
        <v>440</v>
      </c>
    </row>
    <row r="133" spans="1:6" s="49" customFormat="1" ht="20.25" customHeight="1">
      <c r="A133" s="6"/>
      <c r="B133" s="55" t="s">
        <v>20</v>
      </c>
      <c r="C133" s="59"/>
      <c r="D133" s="77"/>
      <c r="E133" s="77"/>
      <c r="F133" s="77"/>
    </row>
    <row r="134" spans="1:6" s="49" customFormat="1">
      <c r="A134" s="6"/>
      <c r="B134" s="7" t="s">
        <v>6</v>
      </c>
      <c r="C134" s="4" t="s">
        <v>21</v>
      </c>
      <c r="D134" s="8">
        <v>5000</v>
      </c>
      <c r="E134" s="8">
        <v>1582.53</v>
      </c>
      <c r="F134" s="8">
        <f>D134-E134</f>
        <v>3417.4700000000003</v>
      </c>
    </row>
    <row r="135" spans="1:6" s="49" customFormat="1">
      <c r="A135" s="62"/>
      <c r="B135" s="86"/>
      <c r="C135" s="68" t="s">
        <v>99</v>
      </c>
      <c r="D135" s="67">
        <f>SUM(D134)</f>
        <v>5000</v>
      </c>
      <c r="E135" s="67">
        <f t="shared" ref="E135:F135" si="19">SUM(E134)</f>
        <v>1582.53</v>
      </c>
      <c r="F135" s="67">
        <f t="shared" si="19"/>
        <v>3417.4700000000003</v>
      </c>
    </row>
    <row r="136" spans="1:6" s="49" customFormat="1">
      <c r="A136" s="14"/>
      <c r="B136" s="92" t="s">
        <v>24</v>
      </c>
      <c r="C136" s="12"/>
      <c r="D136" s="8"/>
      <c r="E136" s="8"/>
      <c r="F136" s="8"/>
    </row>
    <row r="137" spans="1:6" s="49" customFormat="1">
      <c r="A137" s="14"/>
      <c r="B137" s="7" t="s">
        <v>42</v>
      </c>
      <c r="C137" s="12" t="s">
        <v>229</v>
      </c>
      <c r="D137" s="8"/>
      <c r="E137" s="8"/>
      <c r="F137" s="8"/>
    </row>
    <row r="138" spans="1:6" s="49" customFormat="1">
      <c r="A138" s="180"/>
      <c r="B138" s="100"/>
      <c r="C138" s="181" t="s">
        <v>236</v>
      </c>
      <c r="D138" s="182">
        <v>5000</v>
      </c>
      <c r="E138" s="182">
        <v>5000</v>
      </c>
      <c r="F138" s="182">
        <f>D138-E138</f>
        <v>0</v>
      </c>
    </row>
    <row r="139" spans="1:6" s="49" customFormat="1">
      <c r="A139" s="62"/>
      <c r="B139" s="86"/>
      <c r="C139" s="68" t="s">
        <v>102</v>
      </c>
      <c r="D139" s="67">
        <f>SUM(D138:D138)</f>
        <v>5000</v>
      </c>
      <c r="E139" s="67">
        <f>SUM(E138:E138)</f>
        <v>5000</v>
      </c>
      <c r="F139" s="67">
        <f>SUM(F138:F138)</f>
        <v>0</v>
      </c>
    </row>
    <row r="140" spans="1:6" s="49" customFormat="1" ht="23.25">
      <c r="A140" s="14"/>
      <c r="B140" s="143" t="s">
        <v>157</v>
      </c>
      <c r="C140" s="12"/>
      <c r="D140" s="8"/>
      <c r="E140" s="8"/>
      <c r="F140" s="8"/>
    </row>
    <row r="141" spans="1:6" s="49" customFormat="1">
      <c r="A141" s="24" t="s">
        <v>5</v>
      </c>
      <c r="B141" s="25"/>
      <c r="C141" s="26"/>
      <c r="D141" s="8"/>
      <c r="E141" s="8"/>
      <c r="F141" s="8"/>
    </row>
    <row r="142" spans="1:6" s="49" customFormat="1">
      <c r="A142" s="24"/>
      <c r="B142" s="25" t="s">
        <v>118</v>
      </c>
      <c r="C142" s="26"/>
      <c r="D142" s="8"/>
      <c r="E142" s="8"/>
      <c r="F142" s="8"/>
    </row>
    <row r="143" spans="1:6" s="49" customFormat="1">
      <c r="A143" s="27"/>
      <c r="B143" s="57"/>
      <c r="C143" s="58" t="s">
        <v>158</v>
      </c>
      <c r="D143" s="8"/>
      <c r="E143" s="8"/>
      <c r="F143" s="8"/>
    </row>
    <row r="144" spans="1:6" s="49" customFormat="1">
      <c r="A144" s="27"/>
      <c r="B144" s="138" t="s">
        <v>42</v>
      </c>
      <c r="C144" s="38" t="s">
        <v>59</v>
      </c>
      <c r="D144" s="8">
        <v>19200</v>
      </c>
      <c r="E144" s="8">
        <v>0</v>
      </c>
      <c r="F144" s="8">
        <f t="shared" ref="F144:F145" si="20">D144-E144</f>
        <v>19200</v>
      </c>
    </row>
    <row r="145" spans="1:6" s="49" customFormat="1">
      <c r="A145" s="27"/>
      <c r="B145" s="138" t="s">
        <v>42</v>
      </c>
      <c r="C145" s="38" t="s">
        <v>237</v>
      </c>
      <c r="D145" s="8">
        <f>156960-150000</f>
        <v>6960</v>
      </c>
      <c r="E145" s="8">
        <v>0</v>
      </c>
      <c r="F145" s="8">
        <f t="shared" si="20"/>
        <v>6960</v>
      </c>
    </row>
    <row r="146" spans="1:6" s="49" customFormat="1">
      <c r="A146" s="93"/>
      <c r="B146" s="37" t="s">
        <v>6</v>
      </c>
      <c r="C146" s="38" t="s">
        <v>124</v>
      </c>
      <c r="D146" s="8">
        <v>87840</v>
      </c>
      <c r="E146" s="8">
        <v>81720</v>
      </c>
      <c r="F146" s="8">
        <f>D146-E146</f>
        <v>6120</v>
      </c>
    </row>
    <row r="147" spans="1:6" s="49" customFormat="1">
      <c r="A147" s="93"/>
      <c r="B147" s="37" t="s">
        <v>6</v>
      </c>
      <c r="C147" s="38" t="s">
        <v>125</v>
      </c>
      <c r="D147" s="8">
        <v>57600</v>
      </c>
      <c r="E147" s="8">
        <v>51240</v>
      </c>
      <c r="F147" s="8">
        <f t="shared" ref="F147:F161" si="21">D147-E147</f>
        <v>6360</v>
      </c>
    </row>
    <row r="148" spans="1:6" s="49" customFormat="1">
      <c r="A148" s="62"/>
      <c r="B148" s="86"/>
      <c r="C148" s="68" t="s">
        <v>95</v>
      </c>
      <c r="D148" s="67">
        <f>SUM(D143:D147)</f>
        <v>171600</v>
      </c>
      <c r="E148" s="67">
        <f t="shared" ref="E148" si="22">SUM(E143:E147)</f>
        <v>132960</v>
      </c>
      <c r="F148" s="67">
        <f t="shared" ref="F148" si="23">SUM(F143:F147)</f>
        <v>38640</v>
      </c>
    </row>
    <row r="149" spans="1:6" s="49" customFormat="1">
      <c r="A149" s="29" t="s">
        <v>165</v>
      </c>
      <c r="C149" s="38"/>
      <c r="D149" s="8"/>
      <c r="E149" s="8"/>
      <c r="F149" s="8"/>
    </row>
    <row r="150" spans="1:6" s="49" customFormat="1">
      <c r="A150" s="93"/>
      <c r="B150" s="92" t="s">
        <v>12</v>
      </c>
      <c r="C150" s="38"/>
      <c r="D150" s="8"/>
      <c r="E150" s="8"/>
      <c r="F150" s="8"/>
    </row>
    <row r="151" spans="1:6" s="49" customFormat="1">
      <c r="A151" s="94"/>
      <c r="B151" s="7" t="s">
        <v>42</v>
      </c>
      <c r="C151" s="12" t="s">
        <v>89</v>
      </c>
      <c r="D151" s="8"/>
      <c r="E151" s="8"/>
      <c r="F151" s="8"/>
    </row>
    <row r="152" spans="1:6" s="49" customFormat="1">
      <c r="A152" s="94"/>
      <c r="B152" s="37"/>
      <c r="C152" s="81" t="s">
        <v>159</v>
      </c>
      <c r="D152" s="8">
        <v>40000</v>
      </c>
      <c r="E152" s="8">
        <v>13978</v>
      </c>
      <c r="F152" s="8">
        <f t="shared" si="21"/>
        <v>26022</v>
      </c>
    </row>
    <row r="153" spans="1:6" s="49" customFormat="1">
      <c r="A153" s="62"/>
      <c r="B153" s="86"/>
      <c r="C153" s="68" t="s">
        <v>97</v>
      </c>
      <c r="D153" s="67">
        <f>SUM(D152:D152)</f>
        <v>40000</v>
      </c>
      <c r="E153" s="67">
        <f>SUM(E152:E152)</f>
        <v>13978</v>
      </c>
      <c r="F153" s="67">
        <f>SUM(F152:F152)</f>
        <v>26022</v>
      </c>
    </row>
    <row r="154" spans="1:6" s="49" customFormat="1">
      <c r="A154" s="6"/>
      <c r="B154" s="92" t="s">
        <v>15</v>
      </c>
      <c r="C154" s="82"/>
      <c r="D154" s="77"/>
      <c r="E154" s="77"/>
      <c r="F154" s="77"/>
    </row>
    <row r="155" spans="1:6" s="49" customFormat="1">
      <c r="A155" s="6"/>
      <c r="B155" s="7" t="s">
        <v>6</v>
      </c>
      <c r="C155" s="91" t="s">
        <v>235</v>
      </c>
      <c r="D155" s="8">
        <v>20000</v>
      </c>
      <c r="E155" s="8">
        <v>20000</v>
      </c>
      <c r="F155" s="8">
        <f>D155-E155</f>
        <v>0</v>
      </c>
    </row>
    <row r="156" spans="1:6" s="49" customFormat="1">
      <c r="A156" s="62"/>
      <c r="B156" s="86"/>
      <c r="C156" s="68" t="s">
        <v>98</v>
      </c>
      <c r="D156" s="67">
        <f>SUM(D155)</f>
        <v>20000</v>
      </c>
      <c r="E156" s="67">
        <f t="shared" ref="E156:F156" si="24">SUM(E155)</f>
        <v>20000</v>
      </c>
      <c r="F156" s="67">
        <f t="shared" si="24"/>
        <v>0</v>
      </c>
    </row>
    <row r="157" spans="1:6" s="49" customFormat="1">
      <c r="A157" s="94"/>
      <c r="B157" s="92" t="s">
        <v>94</v>
      </c>
      <c r="C157" s="81"/>
      <c r="D157" s="8"/>
      <c r="E157" s="8"/>
      <c r="F157" s="8"/>
    </row>
    <row r="158" spans="1:6" s="49" customFormat="1">
      <c r="A158" s="94"/>
      <c r="B158" s="37" t="s">
        <v>6</v>
      </c>
      <c r="C158" s="81" t="s">
        <v>90</v>
      </c>
      <c r="D158" s="8">
        <v>15000</v>
      </c>
      <c r="E158" s="8">
        <v>3684.32</v>
      </c>
      <c r="F158" s="8">
        <f>D158-E158</f>
        <v>11315.68</v>
      </c>
    </row>
    <row r="159" spans="1:6" s="49" customFormat="1">
      <c r="A159" s="62"/>
      <c r="B159" s="86"/>
      <c r="C159" s="68" t="s">
        <v>99</v>
      </c>
      <c r="D159" s="67">
        <f>SUM(D158)</f>
        <v>15000</v>
      </c>
      <c r="E159" s="67">
        <f t="shared" ref="E159:F159" si="25">SUM(E158)</f>
        <v>3684.32</v>
      </c>
      <c r="F159" s="67">
        <f t="shared" si="25"/>
        <v>11315.68</v>
      </c>
    </row>
    <row r="160" spans="1:6" s="49" customFormat="1">
      <c r="A160" s="94"/>
      <c r="B160" s="92" t="s">
        <v>160</v>
      </c>
      <c r="C160" s="81"/>
      <c r="D160" s="8"/>
      <c r="E160" s="8"/>
      <c r="F160" s="8"/>
    </row>
    <row r="161" spans="1:6" s="49" customFormat="1">
      <c r="A161" s="94"/>
      <c r="B161" s="37" t="s">
        <v>42</v>
      </c>
      <c r="C161" s="81" t="s">
        <v>238</v>
      </c>
      <c r="D161" s="8">
        <v>205000</v>
      </c>
      <c r="E161" s="8">
        <v>203000</v>
      </c>
      <c r="F161" s="8">
        <f t="shared" si="21"/>
        <v>2000</v>
      </c>
    </row>
    <row r="162" spans="1:6" s="49" customFormat="1">
      <c r="A162" s="62"/>
      <c r="B162" s="86"/>
      <c r="C162" s="68" t="s">
        <v>162</v>
      </c>
      <c r="D162" s="67">
        <f>SUM(D161:D161)</f>
        <v>205000</v>
      </c>
      <c r="E162" s="67">
        <f>SUM(E161:E161)</f>
        <v>203000</v>
      </c>
      <c r="F162" s="67">
        <f>SUM(F161:F161)</f>
        <v>2000</v>
      </c>
    </row>
    <row r="163" spans="1:6" s="49" customFormat="1">
      <c r="A163" s="6"/>
      <c r="B163" s="144" t="s">
        <v>239</v>
      </c>
      <c r="C163" s="82"/>
      <c r="D163" s="77"/>
      <c r="E163" s="77"/>
      <c r="F163" s="77"/>
    </row>
    <row r="164" spans="1:6" s="49" customFormat="1">
      <c r="A164" s="29" t="s">
        <v>165</v>
      </c>
      <c r="C164" s="38"/>
      <c r="D164" s="77"/>
      <c r="E164" s="77"/>
      <c r="F164" s="77"/>
    </row>
    <row r="165" spans="1:6" s="49" customFormat="1">
      <c r="A165" s="93"/>
      <c r="B165" s="92" t="s">
        <v>12</v>
      </c>
      <c r="C165" s="38"/>
      <c r="D165" s="77"/>
      <c r="E165" s="77"/>
      <c r="F165" s="77"/>
    </row>
    <row r="166" spans="1:6" s="49" customFormat="1">
      <c r="A166" s="6"/>
      <c r="B166" s="7" t="s">
        <v>42</v>
      </c>
      <c r="C166" s="12" t="s">
        <v>89</v>
      </c>
      <c r="D166" s="8"/>
      <c r="E166" s="77"/>
      <c r="F166" s="77"/>
    </row>
    <row r="167" spans="1:6" s="49" customFormat="1">
      <c r="A167" s="6"/>
      <c r="B167" s="7"/>
      <c r="C167" s="91" t="s">
        <v>240</v>
      </c>
      <c r="D167" s="8">
        <v>40000</v>
      </c>
      <c r="E167" s="8">
        <v>38235</v>
      </c>
      <c r="F167" s="8">
        <f>D167-E167</f>
        <v>1765</v>
      </c>
    </row>
    <row r="168" spans="1:6" s="49" customFormat="1">
      <c r="A168" s="6"/>
      <c r="B168" s="7"/>
      <c r="C168" s="91" t="s">
        <v>241</v>
      </c>
      <c r="D168" s="8">
        <f>40000+30000</f>
        <v>70000</v>
      </c>
      <c r="E168" s="8">
        <v>65600</v>
      </c>
      <c r="F168" s="8">
        <f t="shared" ref="F168:F169" si="26">D168-E168</f>
        <v>4400</v>
      </c>
    </row>
    <row r="169" spans="1:6" s="49" customFormat="1">
      <c r="A169" s="6"/>
      <c r="B169" s="7"/>
      <c r="C169" s="91" t="s">
        <v>242</v>
      </c>
      <c r="D169" s="8">
        <f>875080-30000-62400</f>
        <v>782680</v>
      </c>
      <c r="E169" s="8">
        <v>627600</v>
      </c>
      <c r="F169" s="8">
        <f t="shared" si="26"/>
        <v>155080</v>
      </c>
    </row>
    <row r="170" spans="1:6" s="49" customFormat="1">
      <c r="A170" s="62"/>
      <c r="B170" s="108"/>
      <c r="C170" s="68" t="s">
        <v>97</v>
      </c>
      <c r="D170" s="67">
        <f>SUM(D167:D169)</f>
        <v>892680</v>
      </c>
      <c r="E170" s="67">
        <f t="shared" ref="E170:F170" si="27">SUM(E167:E169)</f>
        <v>731435</v>
      </c>
      <c r="F170" s="67">
        <f t="shared" si="27"/>
        <v>161245</v>
      </c>
    </row>
    <row r="171" spans="1:6" s="49" customFormat="1">
      <c r="A171" s="6"/>
      <c r="B171" s="92" t="s">
        <v>15</v>
      </c>
      <c r="C171" s="82"/>
      <c r="D171" s="8"/>
      <c r="E171" s="77"/>
      <c r="F171" s="77"/>
    </row>
    <row r="172" spans="1:6" s="49" customFormat="1">
      <c r="A172" s="6"/>
      <c r="B172" s="7" t="s">
        <v>6</v>
      </c>
      <c r="C172" s="91" t="s">
        <v>243</v>
      </c>
      <c r="D172" s="8">
        <f>1626800+26000</f>
        <v>1652800</v>
      </c>
      <c r="E172" s="8">
        <v>1501718.76</v>
      </c>
      <c r="F172" s="8">
        <f>D172-E172</f>
        <v>151081.24</v>
      </c>
    </row>
    <row r="173" spans="1:6" s="49" customFormat="1">
      <c r="A173" s="62"/>
      <c r="B173" s="108"/>
      <c r="C173" s="68" t="s">
        <v>98</v>
      </c>
      <c r="D173" s="67">
        <f>SUM(D172)</f>
        <v>1652800</v>
      </c>
      <c r="E173" s="67">
        <f t="shared" ref="E173:F173" si="28">SUM(E172)</f>
        <v>1501718.76</v>
      </c>
      <c r="F173" s="67">
        <f t="shared" si="28"/>
        <v>151081.24</v>
      </c>
    </row>
    <row r="174" spans="1:6" s="49" customFormat="1">
      <c r="A174" s="6"/>
      <c r="B174" s="92" t="s">
        <v>160</v>
      </c>
      <c r="C174" s="91"/>
      <c r="D174" s="77"/>
      <c r="E174" s="77"/>
      <c r="F174" s="77"/>
    </row>
    <row r="175" spans="1:6" s="49" customFormat="1">
      <c r="A175" s="6"/>
      <c r="B175" s="7" t="s">
        <v>42</v>
      </c>
      <c r="C175" s="91" t="s">
        <v>91</v>
      </c>
      <c r="D175" s="77"/>
      <c r="E175" s="77"/>
      <c r="F175" s="77"/>
    </row>
    <row r="176" spans="1:6" s="49" customFormat="1">
      <c r="A176" s="6"/>
      <c r="B176" s="7"/>
      <c r="C176" s="91" t="s">
        <v>244</v>
      </c>
      <c r="D176" s="8">
        <v>9000</v>
      </c>
      <c r="E176" s="8">
        <v>8850</v>
      </c>
      <c r="F176" s="8">
        <f>D176-E176</f>
        <v>150</v>
      </c>
    </row>
    <row r="177" spans="1:6" s="49" customFormat="1">
      <c r="A177" s="6"/>
      <c r="B177" s="7" t="s">
        <v>42</v>
      </c>
      <c r="C177" s="91" t="s">
        <v>231</v>
      </c>
      <c r="D177" s="8"/>
      <c r="E177" s="8"/>
      <c r="F177" s="8"/>
    </row>
    <row r="178" spans="1:6" s="49" customFormat="1">
      <c r="A178" s="6"/>
      <c r="B178" s="7"/>
      <c r="C178" s="91" t="s">
        <v>245</v>
      </c>
      <c r="D178" s="8">
        <v>26000</v>
      </c>
      <c r="E178" s="8">
        <v>26000</v>
      </c>
      <c r="F178" s="8">
        <f>D178-E178</f>
        <v>0</v>
      </c>
    </row>
    <row r="179" spans="1:6" s="49" customFormat="1">
      <c r="A179" s="6"/>
      <c r="B179" s="7"/>
      <c r="C179" s="91" t="s">
        <v>246</v>
      </c>
      <c r="D179" s="8">
        <v>3600</v>
      </c>
      <c r="E179" s="8">
        <v>3600</v>
      </c>
      <c r="F179" s="8">
        <f>D179-E179</f>
        <v>0</v>
      </c>
    </row>
    <row r="180" spans="1:6" s="49" customFormat="1">
      <c r="A180" s="6"/>
      <c r="B180" s="7" t="s">
        <v>42</v>
      </c>
      <c r="C180" s="91" t="s">
        <v>247</v>
      </c>
      <c r="D180" s="8"/>
      <c r="E180" s="8"/>
      <c r="F180" s="8"/>
    </row>
    <row r="181" spans="1:6" s="49" customFormat="1">
      <c r="A181" s="6"/>
      <c r="B181" s="7"/>
      <c r="C181" s="91" t="s">
        <v>248</v>
      </c>
      <c r="D181" s="8">
        <v>120000</v>
      </c>
      <c r="E181" s="8">
        <v>117000</v>
      </c>
      <c r="F181" s="8">
        <f>D181-E181</f>
        <v>3000</v>
      </c>
    </row>
    <row r="182" spans="1:6" s="49" customFormat="1">
      <c r="A182" s="10"/>
      <c r="B182" s="100"/>
      <c r="C182" s="183"/>
      <c r="D182" s="182"/>
      <c r="E182" s="182"/>
      <c r="F182" s="182"/>
    </row>
    <row r="183" spans="1:6" s="49" customFormat="1">
      <c r="A183" s="62"/>
      <c r="B183" s="108"/>
      <c r="C183" s="68" t="s">
        <v>249</v>
      </c>
      <c r="D183" s="67">
        <f>SUM(D176:D181)</f>
        <v>158600</v>
      </c>
      <c r="E183" s="67">
        <f t="shared" ref="E183:F183" si="29">SUM(E176:E181)</f>
        <v>155450</v>
      </c>
      <c r="F183" s="67">
        <f t="shared" si="29"/>
        <v>3150</v>
      </c>
    </row>
    <row r="184" spans="1:6" s="49" customFormat="1">
      <c r="A184" s="6"/>
      <c r="B184" s="55" t="s">
        <v>23</v>
      </c>
      <c r="C184" s="91"/>
      <c r="D184" s="8"/>
      <c r="E184" s="77"/>
      <c r="F184" s="8"/>
    </row>
    <row r="185" spans="1:6" s="49" customFormat="1">
      <c r="A185" s="6"/>
      <c r="B185" s="7" t="s">
        <v>42</v>
      </c>
      <c r="C185" s="91" t="s">
        <v>250</v>
      </c>
      <c r="D185" s="8">
        <f>1674400+36400</f>
        <v>1710800</v>
      </c>
      <c r="E185" s="8">
        <v>1708200</v>
      </c>
      <c r="F185" s="8">
        <f>D185-E185</f>
        <v>2600</v>
      </c>
    </row>
    <row r="186" spans="1:6" s="49" customFormat="1">
      <c r="A186" s="62"/>
      <c r="B186" s="86"/>
      <c r="C186" s="68" t="s">
        <v>100</v>
      </c>
      <c r="D186" s="67">
        <f>SUM(D185)</f>
        <v>1710800</v>
      </c>
      <c r="E186" s="67">
        <f t="shared" ref="E186:F186" si="30">SUM(E185)</f>
        <v>1708200</v>
      </c>
      <c r="F186" s="67">
        <f t="shared" si="30"/>
        <v>2600</v>
      </c>
    </row>
    <row r="187" spans="1:6" s="49" customFormat="1" ht="23.25">
      <c r="A187" s="14"/>
      <c r="B187" s="143" t="s">
        <v>166</v>
      </c>
      <c r="C187" s="12"/>
      <c r="D187" s="8"/>
      <c r="E187" s="8"/>
      <c r="F187" s="8"/>
    </row>
    <row r="188" spans="1:6" s="49" customFormat="1">
      <c r="A188" s="24" t="s">
        <v>167</v>
      </c>
      <c r="B188" s="25"/>
      <c r="C188" s="26"/>
      <c r="D188" s="8"/>
      <c r="E188" s="8"/>
      <c r="F188" s="8"/>
    </row>
    <row r="189" spans="1:6" s="49" customFormat="1">
      <c r="A189" s="24"/>
      <c r="B189" s="25" t="s">
        <v>168</v>
      </c>
      <c r="C189" s="26"/>
      <c r="D189" s="8"/>
      <c r="E189" s="8"/>
      <c r="F189" s="8"/>
    </row>
    <row r="190" spans="1:6" s="49" customFormat="1">
      <c r="A190" s="24"/>
      <c r="B190" s="37" t="s">
        <v>6</v>
      </c>
      <c r="C190" s="38" t="s">
        <v>153</v>
      </c>
      <c r="D190" s="8">
        <v>100000</v>
      </c>
      <c r="E190" s="8">
        <v>61200</v>
      </c>
      <c r="F190" s="8">
        <f>D190-E190</f>
        <v>38800</v>
      </c>
    </row>
    <row r="191" spans="1:6" s="49" customFormat="1">
      <c r="A191" s="62"/>
      <c r="B191" s="89"/>
      <c r="C191" s="68" t="s">
        <v>174</v>
      </c>
      <c r="D191" s="67">
        <f t="shared" ref="D191:E191" si="31">SUM(D189:D190)</f>
        <v>100000</v>
      </c>
      <c r="E191" s="67">
        <f t="shared" si="31"/>
        <v>61200</v>
      </c>
      <c r="F191" s="67">
        <f>SUM(F189:F190)</f>
        <v>38800</v>
      </c>
    </row>
    <row r="192" spans="1:6" s="49" customFormat="1">
      <c r="A192" s="24"/>
      <c r="B192" s="92" t="s">
        <v>163</v>
      </c>
      <c r="C192" s="26"/>
      <c r="D192" s="8"/>
      <c r="E192" s="8"/>
      <c r="F192" s="8"/>
    </row>
    <row r="193" spans="1:6" s="49" customFormat="1">
      <c r="A193" s="24"/>
      <c r="B193" s="37" t="s">
        <v>6</v>
      </c>
      <c r="C193" s="38" t="s">
        <v>164</v>
      </c>
      <c r="D193" s="8"/>
      <c r="E193" s="8"/>
      <c r="F193" s="8"/>
    </row>
    <row r="194" spans="1:6" s="49" customFormat="1">
      <c r="A194" s="94"/>
      <c r="B194" s="37"/>
      <c r="C194" s="81" t="s">
        <v>169</v>
      </c>
      <c r="D194" s="8">
        <v>10000</v>
      </c>
      <c r="E194" s="8">
        <v>10000</v>
      </c>
      <c r="F194" s="8">
        <f>D194-E194</f>
        <v>0</v>
      </c>
    </row>
    <row r="195" spans="1:6" s="49" customFormat="1">
      <c r="A195" s="94"/>
      <c r="B195" s="37"/>
      <c r="C195" s="81" t="s">
        <v>170</v>
      </c>
      <c r="D195" s="8">
        <f>10000-10000</f>
        <v>0</v>
      </c>
      <c r="E195" s="8">
        <v>0</v>
      </c>
      <c r="F195" s="8">
        <f t="shared" ref="F195:F197" si="32">D195-E195</f>
        <v>0</v>
      </c>
    </row>
    <row r="196" spans="1:6" s="49" customFormat="1">
      <c r="A196" s="94"/>
      <c r="B196" s="37" t="s">
        <v>6</v>
      </c>
      <c r="C196" s="81" t="s">
        <v>171</v>
      </c>
      <c r="D196" s="8"/>
      <c r="E196" s="8"/>
      <c r="F196" s="8"/>
    </row>
    <row r="197" spans="1:6" s="49" customFormat="1">
      <c r="A197" s="94"/>
      <c r="B197" s="37"/>
      <c r="C197" s="81" t="s">
        <v>172</v>
      </c>
      <c r="D197" s="8">
        <v>70000</v>
      </c>
      <c r="E197" s="8">
        <v>40000</v>
      </c>
      <c r="F197" s="8">
        <f t="shared" si="32"/>
        <v>30000</v>
      </c>
    </row>
    <row r="198" spans="1:6" s="49" customFormat="1">
      <c r="A198" s="62"/>
      <c r="B198" s="89"/>
      <c r="C198" s="68" t="s">
        <v>100</v>
      </c>
      <c r="D198" s="67">
        <f t="shared" ref="D198:E198" si="33">SUM(D194:D197)</f>
        <v>80000</v>
      </c>
      <c r="E198" s="67">
        <f t="shared" si="33"/>
        <v>50000</v>
      </c>
      <c r="F198" s="67">
        <f>SUM(F194:F197)</f>
        <v>30000</v>
      </c>
    </row>
    <row r="199" spans="1:6" s="49" customFormat="1" ht="23.25">
      <c r="A199" s="14"/>
      <c r="B199" s="143" t="s">
        <v>173</v>
      </c>
      <c r="C199" s="12"/>
      <c r="D199" s="8"/>
      <c r="E199" s="8"/>
      <c r="F199" s="8"/>
    </row>
    <row r="200" spans="1:6" s="49" customFormat="1">
      <c r="A200" s="24" t="s">
        <v>167</v>
      </c>
      <c r="B200" s="25"/>
      <c r="C200" s="26"/>
      <c r="D200" s="8"/>
      <c r="E200" s="8"/>
      <c r="F200" s="8"/>
    </row>
    <row r="201" spans="1:6" s="49" customFormat="1">
      <c r="A201" s="24"/>
      <c r="B201" s="25" t="s">
        <v>168</v>
      </c>
      <c r="C201" s="26"/>
      <c r="D201" s="8"/>
      <c r="E201" s="8"/>
      <c r="F201" s="8"/>
    </row>
    <row r="202" spans="1:6" s="49" customFormat="1">
      <c r="A202" s="24"/>
      <c r="B202" s="37" t="s">
        <v>6</v>
      </c>
      <c r="C202" s="38" t="s">
        <v>92</v>
      </c>
      <c r="D202" s="8">
        <v>95000</v>
      </c>
      <c r="E202" s="8">
        <v>95000</v>
      </c>
      <c r="F202" s="8">
        <f>D202-E202</f>
        <v>0</v>
      </c>
    </row>
    <row r="203" spans="1:6" s="49" customFormat="1">
      <c r="A203" s="62"/>
      <c r="B203" s="89"/>
      <c r="C203" s="68" t="s">
        <v>174</v>
      </c>
      <c r="D203" s="67">
        <f t="shared" ref="D203" si="34">SUM(D199:D202)</f>
        <v>95000</v>
      </c>
      <c r="E203" s="67">
        <f t="shared" ref="E203" si="35">SUM(E199:E202)</f>
        <v>95000</v>
      </c>
      <c r="F203" s="67">
        <f>SUM(F199:F202)</f>
        <v>0</v>
      </c>
    </row>
    <row r="204" spans="1:6" s="49" customFormat="1" ht="23.25">
      <c r="A204" s="24"/>
      <c r="B204" s="145" t="s">
        <v>175</v>
      </c>
      <c r="C204" s="26"/>
      <c r="D204" s="8"/>
      <c r="E204" s="8"/>
      <c r="F204" s="8"/>
    </row>
    <row r="205" spans="1:6" s="49" customFormat="1">
      <c r="A205" s="24" t="s">
        <v>167</v>
      </c>
      <c r="B205" s="25"/>
      <c r="C205" s="26"/>
      <c r="D205" s="8"/>
      <c r="E205" s="8"/>
      <c r="F205" s="8"/>
    </row>
    <row r="206" spans="1:6" s="49" customFormat="1">
      <c r="A206" s="24"/>
      <c r="B206" s="25" t="s">
        <v>176</v>
      </c>
      <c r="C206" s="26"/>
      <c r="D206" s="8"/>
      <c r="E206" s="8"/>
      <c r="F206" s="8"/>
    </row>
    <row r="207" spans="1:6" s="49" customFormat="1">
      <c r="A207" s="93"/>
      <c r="B207" s="7" t="s">
        <v>42</v>
      </c>
      <c r="C207" s="12" t="s">
        <v>89</v>
      </c>
      <c r="D207" s="8"/>
      <c r="E207" s="8"/>
      <c r="F207" s="8"/>
    </row>
    <row r="208" spans="1:6" s="49" customFormat="1">
      <c r="A208" s="93"/>
      <c r="B208" s="95"/>
      <c r="C208" s="38" t="s">
        <v>177</v>
      </c>
      <c r="D208" s="8">
        <v>10000</v>
      </c>
      <c r="E208" s="8">
        <v>9850</v>
      </c>
      <c r="F208" s="8">
        <f>D208-E208</f>
        <v>150</v>
      </c>
    </row>
    <row r="209" spans="1:6" s="49" customFormat="1">
      <c r="A209" s="93"/>
      <c r="B209" s="95"/>
      <c r="C209" s="38" t="s">
        <v>178</v>
      </c>
      <c r="D209" s="8">
        <v>10000</v>
      </c>
      <c r="E209" s="8">
        <v>9855</v>
      </c>
      <c r="F209" s="8">
        <f t="shared" ref="F209:F211" si="36">D209-E209</f>
        <v>145</v>
      </c>
    </row>
    <row r="210" spans="1:6" s="49" customFormat="1">
      <c r="A210" s="93"/>
      <c r="B210" s="95"/>
      <c r="C210" s="38" t="s">
        <v>251</v>
      </c>
      <c r="D210" s="8">
        <v>3000</v>
      </c>
      <c r="E210" s="8">
        <v>2945</v>
      </c>
      <c r="F210" s="8">
        <f t="shared" si="36"/>
        <v>55</v>
      </c>
    </row>
    <row r="211" spans="1:6" s="49" customFormat="1">
      <c r="A211" s="93"/>
      <c r="B211" s="95"/>
      <c r="C211" s="38" t="s">
        <v>179</v>
      </c>
      <c r="D211" s="8">
        <v>20000</v>
      </c>
      <c r="E211" s="8">
        <v>19940</v>
      </c>
      <c r="F211" s="8">
        <f t="shared" si="36"/>
        <v>60</v>
      </c>
    </row>
    <row r="212" spans="1:6" s="49" customFormat="1">
      <c r="A212" s="62"/>
      <c r="B212" s="89"/>
      <c r="C212" s="68" t="s">
        <v>180</v>
      </c>
      <c r="D212" s="67">
        <f t="shared" ref="D212" si="37">SUM(D208:D211)</f>
        <v>43000</v>
      </c>
      <c r="E212" s="67">
        <f t="shared" ref="E212" si="38">SUM(E208:E211)</f>
        <v>42590</v>
      </c>
      <c r="F212" s="67">
        <f>SUM(F208:F211)</f>
        <v>410</v>
      </c>
    </row>
    <row r="213" spans="1:6" s="49" customFormat="1" ht="23.25">
      <c r="A213" s="24"/>
      <c r="B213" s="145" t="s">
        <v>181</v>
      </c>
      <c r="C213" s="26"/>
      <c r="D213" s="8"/>
      <c r="E213" s="8"/>
      <c r="F213" s="8"/>
    </row>
    <row r="214" spans="1:6" s="49" customFormat="1">
      <c r="A214" s="24" t="s">
        <v>167</v>
      </c>
      <c r="B214" s="25"/>
      <c r="C214" s="26"/>
      <c r="D214" s="8"/>
      <c r="E214" s="8"/>
      <c r="F214" s="8"/>
    </row>
    <row r="215" spans="1:6" s="49" customFormat="1">
      <c r="A215" s="24"/>
      <c r="B215" s="25" t="s">
        <v>176</v>
      </c>
      <c r="C215" s="26"/>
      <c r="D215" s="8"/>
      <c r="E215" s="8"/>
      <c r="F215" s="8"/>
    </row>
    <row r="216" spans="1:6" s="49" customFormat="1">
      <c r="A216" s="93"/>
      <c r="B216" s="7" t="s">
        <v>42</v>
      </c>
      <c r="C216" s="12" t="s">
        <v>89</v>
      </c>
      <c r="D216" s="8"/>
      <c r="E216" s="8"/>
      <c r="F216" s="8"/>
    </row>
    <row r="217" spans="1:6" s="49" customFormat="1">
      <c r="A217" s="93"/>
      <c r="B217" s="7"/>
      <c r="C217" s="12" t="s">
        <v>252</v>
      </c>
      <c r="D217" s="8">
        <v>320000</v>
      </c>
      <c r="E217" s="8">
        <v>319166</v>
      </c>
      <c r="F217" s="8">
        <f>D217-E217</f>
        <v>834</v>
      </c>
    </row>
    <row r="218" spans="1:6" s="49" customFormat="1">
      <c r="A218" s="93"/>
      <c r="B218" s="7"/>
      <c r="C218" s="12" t="s">
        <v>182</v>
      </c>
      <c r="D218" s="8">
        <f>148000+2000</f>
        <v>150000</v>
      </c>
      <c r="E218" s="8">
        <v>150000</v>
      </c>
      <c r="F218" s="8">
        <f t="shared" ref="F218:F256" si="39">D218-E218</f>
        <v>0</v>
      </c>
    </row>
    <row r="219" spans="1:6" s="49" customFormat="1">
      <c r="A219" s="93"/>
      <c r="B219" s="7"/>
      <c r="C219" s="12" t="s">
        <v>253</v>
      </c>
      <c r="D219" s="8">
        <f>50000+15000</f>
        <v>65000</v>
      </c>
      <c r="E219" s="8">
        <v>64759</v>
      </c>
      <c r="F219" s="8">
        <f t="shared" si="39"/>
        <v>241</v>
      </c>
    </row>
    <row r="220" spans="1:6" s="49" customFormat="1">
      <c r="A220" s="62"/>
      <c r="B220" s="89"/>
      <c r="C220" s="68" t="s">
        <v>180</v>
      </c>
      <c r="D220" s="67">
        <f>SUM(D217:D219)</f>
        <v>535000</v>
      </c>
      <c r="E220" s="67">
        <f t="shared" ref="E220:F220" si="40">SUM(E217:E219)</f>
        <v>533925</v>
      </c>
      <c r="F220" s="67">
        <f t="shared" si="40"/>
        <v>1075</v>
      </c>
    </row>
    <row r="221" spans="1:6" s="49" customFormat="1">
      <c r="A221" s="93"/>
      <c r="B221" s="25" t="s">
        <v>168</v>
      </c>
      <c r="C221" s="12"/>
      <c r="D221" s="8"/>
      <c r="E221" s="8"/>
      <c r="F221" s="8"/>
    </row>
    <row r="222" spans="1:6" s="49" customFormat="1">
      <c r="A222" s="93"/>
      <c r="B222" s="7" t="s">
        <v>183</v>
      </c>
      <c r="C222" s="12" t="s">
        <v>184</v>
      </c>
      <c r="D222" s="8">
        <v>71000</v>
      </c>
      <c r="E222" s="8">
        <v>71000</v>
      </c>
      <c r="F222" s="8">
        <f t="shared" si="39"/>
        <v>0</v>
      </c>
    </row>
    <row r="223" spans="1:6" s="49" customFormat="1">
      <c r="A223" s="62"/>
      <c r="B223" s="89"/>
      <c r="C223" s="68" t="s">
        <v>174</v>
      </c>
      <c r="D223" s="67">
        <f>SUM(D222)</f>
        <v>71000</v>
      </c>
      <c r="E223" s="67">
        <f t="shared" ref="E223:F223" si="41">SUM(E222)</f>
        <v>71000</v>
      </c>
      <c r="F223" s="67">
        <f t="shared" si="41"/>
        <v>0</v>
      </c>
    </row>
    <row r="224" spans="1:6" s="49" customFormat="1" ht="23.25">
      <c r="A224" s="24"/>
      <c r="B224" s="145" t="s">
        <v>185</v>
      </c>
      <c r="C224" s="26"/>
      <c r="D224" s="8"/>
      <c r="E224" s="8"/>
      <c r="F224" s="8"/>
    </row>
    <row r="225" spans="1:6" s="49" customFormat="1">
      <c r="A225" s="24" t="s">
        <v>167</v>
      </c>
      <c r="B225" s="25"/>
      <c r="C225" s="26"/>
      <c r="D225" s="8"/>
      <c r="E225" s="8"/>
      <c r="F225" s="8"/>
    </row>
    <row r="226" spans="1:6" s="49" customFormat="1">
      <c r="A226" s="184"/>
      <c r="B226" s="185" t="s">
        <v>176</v>
      </c>
      <c r="C226" s="186"/>
      <c r="D226" s="182"/>
      <c r="E226" s="182"/>
      <c r="F226" s="182"/>
    </row>
    <row r="227" spans="1:6" s="49" customFormat="1">
      <c r="A227" s="93"/>
      <c r="B227" s="7" t="s">
        <v>42</v>
      </c>
      <c r="C227" s="12" t="s">
        <v>89</v>
      </c>
      <c r="D227" s="8"/>
      <c r="E227" s="8"/>
      <c r="F227" s="8"/>
    </row>
    <row r="228" spans="1:6" s="49" customFormat="1">
      <c r="A228" s="93"/>
      <c r="B228" s="7"/>
      <c r="C228" s="12" t="s">
        <v>254</v>
      </c>
      <c r="D228" s="8">
        <f>50000-2000</f>
        <v>48000</v>
      </c>
      <c r="E228" s="8">
        <v>45090</v>
      </c>
      <c r="F228" s="8">
        <f t="shared" si="39"/>
        <v>2910</v>
      </c>
    </row>
    <row r="229" spans="1:6" s="49" customFormat="1">
      <c r="A229" s="93"/>
      <c r="B229" s="7"/>
      <c r="C229" s="12" t="s">
        <v>255</v>
      </c>
      <c r="D229" s="8">
        <v>65000</v>
      </c>
      <c r="E229" s="8">
        <v>65000</v>
      </c>
      <c r="F229" s="8">
        <f t="shared" si="39"/>
        <v>0</v>
      </c>
    </row>
    <row r="230" spans="1:6" s="49" customFormat="1">
      <c r="A230" s="93"/>
      <c r="B230" s="7"/>
      <c r="C230" s="12" t="s">
        <v>300</v>
      </c>
      <c r="D230" s="8">
        <f>50000+20000</f>
        <v>70000</v>
      </c>
      <c r="E230" s="8">
        <v>70000</v>
      </c>
      <c r="F230" s="8">
        <f t="shared" si="39"/>
        <v>0</v>
      </c>
    </row>
    <row r="231" spans="1:6" s="49" customFormat="1">
      <c r="A231" s="93"/>
      <c r="B231" s="7"/>
      <c r="C231" s="12" t="s">
        <v>256</v>
      </c>
      <c r="D231" s="8">
        <v>10000</v>
      </c>
      <c r="E231" s="8">
        <v>10000</v>
      </c>
      <c r="F231" s="8">
        <f t="shared" si="39"/>
        <v>0</v>
      </c>
    </row>
    <row r="232" spans="1:6" s="49" customFormat="1">
      <c r="A232" s="93"/>
      <c r="B232" s="7"/>
      <c r="C232" s="12" t="s">
        <v>257</v>
      </c>
      <c r="D232" s="8">
        <v>20000</v>
      </c>
      <c r="E232" s="8">
        <v>20000</v>
      </c>
      <c r="F232" s="8">
        <f t="shared" si="39"/>
        <v>0</v>
      </c>
    </row>
    <row r="233" spans="1:6" s="49" customFormat="1">
      <c r="A233" s="93"/>
      <c r="B233" s="7"/>
      <c r="C233" s="12" t="s">
        <v>258</v>
      </c>
      <c r="D233" s="8">
        <v>20000</v>
      </c>
      <c r="E233" s="8">
        <v>20000</v>
      </c>
      <c r="F233" s="8">
        <f t="shared" si="39"/>
        <v>0</v>
      </c>
    </row>
    <row r="234" spans="1:6" s="49" customFormat="1">
      <c r="A234" s="93"/>
      <c r="B234" s="7"/>
      <c r="C234" s="12" t="s">
        <v>259</v>
      </c>
      <c r="D234" s="8">
        <v>30000</v>
      </c>
      <c r="E234" s="8">
        <v>29960</v>
      </c>
      <c r="F234" s="8">
        <f t="shared" si="39"/>
        <v>40</v>
      </c>
    </row>
    <row r="235" spans="1:6" s="49" customFormat="1">
      <c r="A235" s="93" t="s">
        <v>291</v>
      </c>
      <c r="B235" s="7"/>
      <c r="C235" s="12" t="s">
        <v>293</v>
      </c>
      <c r="D235" s="8">
        <v>20000</v>
      </c>
      <c r="E235" s="8">
        <v>16720</v>
      </c>
      <c r="F235" s="8">
        <f t="shared" si="39"/>
        <v>3280</v>
      </c>
    </row>
    <row r="236" spans="1:6" s="49" customFormat="1">
      <c r="A236" s="93" t="s">
        <v>291</v>
      </c>
      <c r="B236" s="7"/>
      <c r="C236" s="12" t="s">
        <v>301</v>
      </c>
      <c r="D236" s="8">
        <v>5000</v>
      </c>
      <c r="E236" s="8">
        <v>4300</v>
      </c>
      <c r="F236" s="8">
        <f t="shared" si="39"/>
        <v>700</v>
      </c>
    </row>
    <row r="237" spans="1:6" s="49" customFormat="1">
      <c r="A237" s="93" t="s">
        <v>291</v>
      </c>
      <c r="B237" s="7"/>
      <c r="C237" s="12" t="s">
        <v>317</v>
      </c>
      <c r="D237" s="8">
        <v>5000</v>
      </c>
      <c r="E237" s="8">
        <v>5000</v>
      </c>
      <c r="F237" s="8">
        <f t="shared" si="39"/>
        <v>0</v>
      </c>
    </row>
    <row r="238" spans="1:6" s="49" customFormat="1">
      <c r="A238" s="62"/>
      <c r="B238" s="89"/>
      <c r="C238" s="68" t="s">
        <v>180</v>
      </c>
      <c r="D238" s="67">
        <f>SUM(D228:D237)</f>
        <v>293000</v>
      </c>
      <c r="E238" s="67">
        <f>SUM(E228:E237)</f>
        <v>286070</v>
      </c>
      <c r="F238" s="67">
        <f>SUM(F228:F237)</f>
        <v>6930</v>
      </c>
    </row>
    <row r="239" spans="1:6" s="49" customFormat="1">
      <c r="A239" s="96" t="s">
        <v>186</v>
      </c>
      <c r="B239" s="7"/>
      <c r="C239" s="12"/>
      <c r="D239" s="8"/>
      <c r="E239" s="8"/>
      <c r="F239" s="8"/>
    </row>
    <row r="240" spans="1:6" s="49" customFormat="1">
      <c r="A240" s="93"/>
      <c r="B240" s="7" t="s">
        <v>6</v>
      </c>
      <c r="C240" s="12" t="s">
        <v>187</v>
      </c>
      <c r="D240" s="8"/>
      <c r="E240" s="8"/>
      <c r="F240" s="8"/>
    </row>
    <row r="241" spans="1:6" s="49" customFormat="1">
      <c r="A241" s="93"/>
      <c r="B241" s="7"/>
      <c r="C241" s="12" t="s">
        <v>188</v>
      </c>
      <c r="D241" s="8">
        <f>10000-5000</f>
        <v>5000</v>
      </c>
      <c r="E241" s="8">
        <v>0</v>
      </c>
      <c r="F241" s="8">
        <f>D241-E241</f>
        <v>5000</v>
      </c>
    </row>
    <row r="242" spans="1:6" s="49" customFormat="1">
      <c r="A242" s="93"/>
      <c r="B242" s="7"/>
      <c r="C242" s="12" t="s">
        <v>189</v>
      </c>
      <c r="D242" s="8">
        <f>5000-5000</f>
        <v>0</v>
      </c>
      <c r="E242" s="8">
        <v>0</v>
      </c>
      <c r="F242" s="8">
        <f>D242-E242</f>
        <v>0</v>
      </c>
    </row>
    <row r="243" spans="1:6" s="49" customFormat="1">
      <c r="A243" s="62"/>
      <c r="B243" s="89"/>
      <c r="C243" s="68" t="s">
        <v>100</v>
      </c>
      <c r="D243" s="67">
        <f>SUM(D241:D242)</f>
        <v>5000</v>
      </c>
      <c r="E243" s="67">
        <f t="shared" ref="E243:F243" si="42">SUM(E241:E242)</f>
        <v>0</v>
      </c>
      <c r="F243" s="67">
        <f t="shared" si="42"/>
        <v>5000</v>
      </c>
    </row>
    <row r="244" spans="1:6" s="49" customFormat="1" ht="23.25">
      <c r="A244" s="24"/>
      <c r="B244" s="145" t="s">
        <v>190</v>
      </c>
      <c r="C244" s="26"/>
      <c r="D244" s="8"/>
      <c r="E244" s="8"/>
      <c r="F244" s="8"/>
    </row>
    <row r="245" spans="1:6" s="49" customFormat="1">
      <c r="A245" s="24" t="s">
        <v>167</v>
      </c>
      <c r="B245" s="25"/>
      <c r="C245" s="26"/>
      <c r="D245" s="8"/>
      <c r="E245" s="8"/>
      <c r="F245" s="8"/>
    </row>
    <row r="246" spans="1:6" s="49" customFormat="1">
      <c r="A246" s="24"/>
      <c r="B246" s="25" t="s">
        <v>168</v>
      </c>
      <c r="C246" s="26"/>
      <c r="D246" s="8"/>
      <c r="E246" s="8"/>
      <c r="F246" s="8"/>
    </row>
    <row r="247" spans="1:6" s="49" customFormat="1">
      <c r="A247" s="24"/>
      <c r="B247" s="37" t="s">
        <v>6</v>
      </c>
      <c r="C247" s="38" t="s">
        <v>191</v>
      </c>
      <c r="D247" s="8">
        <f>30000-20000</f>
        <v>10000</v>
      </c>
      <c r="E247" s="8">
        <v>9920</v>
      </c>
      <c r="F247" s="8">
        <f>D247-E247</f>
        <v>80</v>
      </c>
    </row>
    <row r="248" spans="1:6" s="49" customFormat="1">
      <c r="A248" s="62"/>
      <c r="B248" s="89"/>
      <c r="C248" s="68" t="s">
        <v>174</v>
      </c>
      <c r="D248" s="67">
        <f>SUM(D247)</f>
        <v>10000</v>
      </c>
      <c r="E248" s="67">
        <f t="shared" ref="E248:F248" si="43">SUM(E247)</f>
        <v>9920</v>
      </c>
      <c r="F248" s="67">
        <f t="shared" si="43"/>
        <v>80</v>
      </c>
    </row>
    <row r="249" spans="1:6" s="49" customFormat="1" ht="23.25">
      <c r="A249" s="24"/>
      <c r="B249" s="145" t="s">
        <v>192</v>
      </c>
      <c r="C249" s="26"/>
      <c r="D249" s="8"/>
      <c r="E249" s="8"/>
      <c r="F249" s="8"/>
    </row>
    <row r="250" spans="1:6" s="49" customFormat="1">
      <c r="A250" s="24" t="s">
        <v>167</v>
      </c>
      <c r="B250" s="25"/>
      <c r="C250" s="26"/>
      <c r="D250" s="8"/>
      <c r="E250" s="8"/>
      <c r="F250" s="8"/>
    </row>
    <row r="251" spans="1:6" s="49" customFormat="1">
      <c r="A251" s="24"/>
      <c r="B251" s="25" t="s">
        <v>168</v>
      </c>
      <c r="C251" s="26"/>
      <c r="D251" s="8"/>
      <c r="E251" s="8"/>
      <c r="F251" s="8"/>
    </row>
    <row r="252" spans="1:6" s="49" customFormat="1">
      <c r="A252" s="24"/>
      <c r="B252" s="37" t="s">
        <v>6</v>
      </c>
      <c r="C252" s="38" t="s">
        <v>92</v>
      </c>
      <c r="D252" s="8">
        <v>150000</v>
      </c>
      <c r="E252" s="8">
        <v>129245</v>
      </c>
      <c r="F252" s="8">
        <f>D252-E252</f>
        <v>20755</v>
      </c>
    </row>
    <row r="253" spans="1:6" s="49" customFormat="1">
      <c r="A253" s="24"/>
      <c r="B253" s="37" t="s">
        <v>6</v>
      </c>
      <c r="C253" s="38" t="s">
        <v>93</v>
      </c>
      <c r="D253" s="8">
        <v>20000</v>
      </c>
      <c r="E253" s="8">
        <v>0</v>
      </c>
      <c r="F253" s="8">
        <f>D253-E253</f>
        <v>20000</v>
      </c>
    </row>
    <row r="254" spans="1:6" s="49" customFormat="1">
      <c r="A254" s="62"/>
      <c r="B254" s="108"/>
      <c r="C254" s="68" t="s">
        <v>174</v>
      </c>
      <c r="D254" s="67">
        <f>SUM(D252:D253)</f>
        <v>170000</v>
      </c>
      <c r="E254" s="67">
        <f t="shared" ref="E254:F254" si="44">SUM(E252:E253)</f>
        <v>129245</v>
      </c>
      <c r="F254" s="67">
        <f t="shared" si="44"/>
        <v>40755</v>
      </c>
    </row>
    <row r="255" spans="1:6" s="49" customFormat="1">
      <c r="A255" s="24"/>
      <c r="B255" s="25" t="s">
        <v>20</v>
      </c>
      <c r="C255" s="26"/>
      <c r="D255" s="8"/>
      <c r="E255" s="8"/>
      <c r="F255" s="8">
        <f t="shared" si="39"/>
        <v>0</v>
      </c>
    </row>
    <row r="256" spans="1:6" s="49" customFormat="1">
      <c r="A256" s="24"/>
      <c r="B256" s="37" t="s">
        <v>6</v>
      </c>
      <c r="C256" s="38" t="s">
        <v>90</v>
      </c>
      <c r="D256" s="8">
        <f>500000+150000</f>
        <v>650000</v>
      </c>
      <c r="E256" s="8">
        <v>600823.72</v>
      </c>
      <c r="F256" s="8">
        <f t="shared" si="39"/>
        <v>49176.280000000028</v>
      </c>
    </row>
    <row r="257" spans="1:6" s="49" customFormat="1">
      <c r="A257" s="62"/>
      <c r="B257" s="89"/>
      <c r="C257" s="68" t="s">
        <v>193</v>
      </c>
      <c r="D257" s="67">
        <f>SUM(D256)</f>
        <v>650000</v>
      </c>
      <c r="E257" s="67">
        <f t="shared" ref="E257" si="45">SUM(E256)</f>
        <v>600823.72</v>
      </c>
      <c r="F257" s="67">
        <f t="shared" ref="F257" si="46">SUM(F256)</f>
        <v>49176.280000000028</v>
      </c>
    </row>
    <row r="258" spans="1:6">
      <c r="A258" s="218" t="s">
        <v>74</v>
      </c>
      <c r="B258" s="219"/>
      <c r="C258" s="220"/>
      <c r="D258" s="90">
        <f>+D38+D49+D61+D68+D74+D89+D94+D99+D105+D113+D117+D121+D127+D132+D135+D139+D148+D153+D156+D159+D162+D186+D191+D198+D203+D212+D220+D223+D238+D243+D248+D257+D254+D173+D170+D28+D183</f>
        <v>13861610</v>
      </c>
      <c r="E258" s="90">
        <f>+E38+E49+E61+E68+E74+E89+E94+E99+E105+E113+E117+E121+E127+E132+E135+E139+E148+E153+E156+E159+E162+E186+E191+E198+E203+E212+E220+E223+E238+E243+E248+E257+E254+E173+E170+E28+E183</f>
        <v>13127600.360000001</v>
      </c>
      <c r="F258" s="90">
        <f>+F38+F49+F61+F68+F74+F89+F94+F99+F105+F113+F117+F121+F127+F132+F135+F139+F148+F153+F156+F159+F162+F186+F191+F198+F203+F212+F220+F223+F238+F243+F248+F257+F254+F173+F170+F28+F183</f>
        <v>734009.64000000013</v>
      </c>
    </row>
    <row r="259" spans="1:6" ht="23.25">
      <c r="A259" s="221" t="s">
        <v>30</v>
      </c>
      <c r="B259" s="222"/>
      <c r="C259" s="223"/>
      <c r="D259" s="21"/>
      <c r="E259" s="21"/>
      <c r="F259" s="21" t="s">
        <v>14</v>
      </c>
    </row>
    <row r="260" spans="1:6">
      <c r="A260" s="24" t="s">
        <v>5</v>
      </c>
      <c r="B260" s="25"/>
      <c r="C260" s="4"/>
      <c r="D260" s="5"/>
      <c r="E260" s="5"/>
      <c r="F260" s="5" t="s">
        <v>14</v>
      </c>
    </row>
    <row r="261" spans="1:6">
      <c r="A261" s="24"/>
      <c r="B261" s="25" t="s">
        <v>18</v>
      </c>
      <c r="C261" s="4"/>
      <c r="D261" s="5"/>
      <c r="E261" s="5"/>
      <c r="F261" s="5"/>
    </row>
    <row r="262" spans="1:6">
      <c r="A262" s="6"/>
      <c r="B262" s="7" t="s">
        <v>6</v>
      </c>
      <c r="C262" s="4" t="s">
        <v>7</v>
      </c>
      <c r="D262" s="5">
        <f>681840-29100</f>
        <v>652740</v>
      </c>
      <c r="E262" s="5">
        <v>651340</v>
      </c>
      <c r="F262" s="5">
        <f>+D262-E262</f>
        <v>1400</v>
      </c>
    </row>
    <row r="263" spans="1:6">
      <c r="A263" s="6"/>
      <c r="B263" s="7" t="s">
        <v>42</v>
      </c>
      <c r="C263" s="4" t="s">
        <v>58</v>
      </c>
      <c r="D263" s="5">
        <f>51600+18500</f>
        <v>70100</v>
      </c>
      <c r="E263" s="5">
        <v>70020.320000000007</v>
      </c>
      <c r="F263" s="5">
        <f>+D263-E263</f>
        <v>79.679999999993015</v>
      </c>
    </row>
    <row r="264" spans="1:6">
      <c r="A264" s="6"/>
      <c r="B264" s="7" t="s">
        <v>42</v>
      </c>
      <c r="C264" s="4" t="s">
        <v>318</v>
      </c>
      <c r="D264" s="5">
        <v>19100</v>
      </c>
      <c r="E264" s="5">
        <v>19016</v>
      </c>
      <c r="F264" s="5">
        <f>+D264-E264</f>
        <v>84</v>
      </c>
    </row>
    <row r="265" spans="1:6">
      <c r="A265" s="6"/>
      <c r="B265" s="7"/>
      <c r="C265" s="58" t="s">
        <v>8</v>
      </c>
      <c r="D265" s="5"/>
      <c r="E265" s="5"/>
      <c r="F265" s="5">
        <f t="shared" ref="F265:F270" si="47">+D265-E265</f>
        <v>0</v>
      </c>
    </row>
    <row r="266" spans="1:6">
      <c r="A266" s="6"/>
      <c r="B266" s="7" t="s">
        <v>42</v>
      </c>
      <c r="C266" s="4" t="s">
        <v>61</v>
      </c>
      <c r="D266" s="5">
        <f>109800-83970</f>
        <v>25830</v>
      </c>
      <c r="E266" s="5">
        <v>25830</v>
      </c>
      <c r="F266" s="5">
        <f t="shared" si="47"/>
        <v>0</v>
      </c>
    </row>
    <row r="267" spans="1:6">
      <c r="A267" s="6"/>
      <c r="B267" s="7" t="s">
        <v>42</v>
      </c>
      <c r="C267" s="4" t="s">
        <v>122</v>
      </c>
      <c r="D267" s="5">
        <f>18000-13500</f>
        <v>4500</v>
      </c>
      <c r="E267" s="5">
        <v>4500</v>
      </c>
      <c r="F267" s="5">
        <f t="shared" si="47"/>
        <v>0</v>
      </c>
    </row>
    <row r="268" spans="1:6" s="41" customFormat="1">
      <c r="A268" s="23"/>
      <c r="B268" s="39" t="s">
        <v>31</v>
      </c>
      <c r="C268" s="40"/>
      <c r="D268" s="31"/>
      <c r="E268" s="31"/>
      <c r="F268" s="5">
        <f t="shared" si="47"/>
        <v>0</v>
      </c>
    </row>
    <row r="269" spans="1:6" s="41" customFormat="1">
      <c r="A269" s="23"/>
      <c r="B269" s="7" t="s">
        <v>6</v>
      </c>
      <c r="C269" s="4" t="s">
        <v>124</v>
      </c>
      <c r="D269" s="5">
        <f>219840-55000</f>
        <v>164840</v>
      </c>
      <c r="E269" s="5">
        <v>164520</v>
      </c>
      <c r="F269" s="5">
        <f t="shared" si="47"/>
        <v>320</v>
      </c>
    </row>
    <row r="270" spans="1:6">
      <c r="A270" s="6"/>
      <c r="B270" s="7" t="s">
        <v>6</v>
      </c>
      <c r="C270" s="4" t="s">
        <v>125</v>
      </c>
      <c r="D270" s="5">
        <f>104160-16000-18500</f>
        <v>69660</v>
      </c>
      <c r="E270" s="5">
        <v>69480</v>
      </c>
      <c r="F270" s="5">
        <f t="shared" si="47"/>
        <v>180</v>
      </c>
    </row>
    <row r="271" spans="1:6">
      <c r="A271" s="62"/>
      <c r="B271" s="53"/>
      <c r="C271" s="68" t="s">
        <v>104</v>
      </c>
      <c r="D271" s="72">
        <f>SUM(D262:D270)</f>
        <v>1006770</v>
      </c>
      <c r="E271" s="72">
        <f>SUM(E262:E270)</f>
        <v>1004706.3200000001</v>
      </c>
      <c r="F271" s="72">
        <f>SUM(F262:F270)</f>
        <v>2063.679999999993</v>
      </c>
    </row>
    <row r="272" spans="1:6">
      <c r="A272" s="187" t="s">
        <v>128</v>
      </c>
      <c r="B272" s="108"/>
      <c r="C272" s="68"/>
      <c r="D272" s="72"/>
      <c r="E272" s="72"/>
      <c r="F272" s="72"/>
    </row>
    <row r="273" spans="1:6">
      <c r="A273" s="6"/>
      <c r="B273" s="29" t="s">
        <v>19</v>
      </c>
      <c r="C273" s="28"/>
      <c r="D273" s="5"/>
      <c r="E273" s="5"/>
      <c r="F273" s="5"/>
    </row>
    <row r="274" spans="1:6">
      <c r="A274" s="6"/>
      <c r="B274" s="29"/>
      <c r="C274" s="28" t="s">
        <v>11</v>
      </c>
      <c r="D274" s="5"/>
      <c r="E274" s="5"/>
      <c r="F274" s="5"/>
    </row>
    <row r="275" spans="1:6">
      <c r="A275" s="6"/>
      <c r="B275" s="7" t="s">
        <v>42</v>
      </c>
      <c r="C275" s="4" t="s">
        <v>141</v>
      </c>
      <c r="D275" s="5">
        <v>50000</v>
      </c>
      <c r="E275" s="5">
        <v>15800</v>
      </c>
      <c r="F275" s="5">
        <f>+D275-E275</f>
        <v>34200</v>
      </c>
    </row>
    <row r="276" spans="1:6">
      <c r="A276" s="6"/>
      <c r="B276" s="7" t="s">
        <v>42</v>
      </c>
      <c r="C276" s="4" t="s">
        <v>56</v>
      </c>
      <c r="D276" s="5">
        <f>20000+10000</f>
        <v>30000</v>
      </c>
      <c r="E276" s="5">
        <v>26880</v>
      </c>
      <c r="F276" s="5">
        <f>+D276-E276</f>
        <v>3120</v>
      </c>
    </row>
    <row r="277" spans="1:6">
      <c r="A277" s="6"/>
      <c r="B277" s="7" t="s">
        <v>42</v>
      </c>
      <c r="C277" s="4" t="s">
        <v>69</v>
      </c>
      <c r="D277" s="5">
        <v>50000</v>
      </c>
      <c r="E277" s="5">
        <v>36000</v>
      </c>
      <c r="F277" s="5">
        <f>+D277-E277</f>
        <v>14000</v>
      </c>
    </row>
    <row r="278" spans="1:6">
      <c r="A278" s="6"/>
      <c r="B278" s="7" t="s">
        <v>42</v>
      </c>
      <c r="C278" s="4" t="s">
        <v>9</v>
      </c>
      <c r="D278" s="5">
        <v>20000</v>
      </c>
      <c r="E278" s="5">
        <v>8756</v>
      </c>
      <c r="F278" s="5">
        <f>+D278-E278</f>
        <v>11244</v>
      </c>
    </row>
    <row r="279" spans="1:6">
      <c r="A279" s="6"/>
      <c r="B279" s="7" t="s">
        <v>6</v>
      </c>
      <c r="C279" s="4" t="s">
        <v>10</v>
      </c>
      <c r="D279" s="5">
        <f>100000-90000</f>
        <v>10000</v>
      </c>
      <c r="E279" s="5">
        <v>3356</v>
      </c>
      <c r="F279" s="5">
        <f>+D279-E279</f>
        <v>6644</v>
      </c>
    </row>
    <row r="280" spans="1:6">
      <c r="A280" s="62"/>
      <c r="B280" s="53"/>
      <c r="C280" s="68" t="s">
        <v>96</v>
      </c>
      <c r="D280" s="97">
        <f>SUM(D275:D279)</f>
        <v>160000</v>
      </c>
      <c r="E280" s="97">
        <f>SUM(E275:E279)</f>
        <v>90792</v>
      </c>
      <c r="F280" s="97">
        <f>SUM(F275:F279)</f>
        <v>69208</v>
      </c>
    </row>
    <row r="281" spans="1:6">
      <c r="A281" s="6"/>
      <c r="B281" s="7" t="s">
        <v>14</v>
      </c>
      <c r="C281" s="28" t="s">
        <v>12</v>
      </c>
      <c r="D281" s="5"/>
      <c r="E281" s="5"/>
      <c r="F281" s="5"/>
    </row>
    <row r="282" spans="1:6">
      <c r="A282" s="6"/>
      <c r="B282" s="7" t="s">
        <v>6</v>
      </c>
      <c r="C282" s="4" t="s">
        <v>13</v>
      </c>
      <c r="D282" s="5"/>
      <c r="E282" s="5"/>
      <c r="F282" s="5"/>
    </row>
    <row r="283" spans="1:6">
      <c r="A283" s="6"/>
      <c r="B283" s="7"/>
      <c r="C283" s="4" t="s">
        <v>194</v>
      </c>
      <c r="D283" s="5">
        <f>80000-41000</f>
        <v>39000</v>
      </c>
      <c r="E283" s="5">
        <v>38104.050000000003</v>
      </c>
      <c r="F283" s="5">
        <f t="shared" ref="F283:F288" si="48">+D283-E283</f>
        <v>895.94999999999709</v>
      </c>
    </row>
    <row r="284" spans="1:6">
      <c r="A284" s="6"/>
      <c r="B284" s="7" t="s">
        <v>6</v>
      </c>
      <c r="C284" s="4" t="s">
        <v>79</v>
      </c>
      <c r="D284" s="5">
        <v>10000</v>
      </c>
      <c r="E284" s="5">
        <v>1700</v>
      </c>
      <c r="F284" s="5">
        <f t="shared" si="48"/>
        <v>8300</v>
      </c>
    </row>
    <row r="285" spans="1:6">
      <c r="A285" s="6"/>
      <c r="B285" s="7" t="s">
        <v>42</v>
      </c>
      <c r="C285" s="4" t="s">
        <v>63</v>
      </c>
      <c r="D285" s="5"/>
      <c r="E285" s="5"/>
      <c r="F285" s="5">
        <f t="shared" si="48"/>
        <v>0</v>
      </c>
    </row>
    <row r="286" spans="1:6">
      <c r="A286" s="6"/>
      <c r="B286" s="7"/>
      <c r="C286" s="4" t="s">
        <v>195</v>
      </c>
      <c r="D286" s="5">
        <f>100000-90000</f>
        <v>10000</v>
      </c>
      <c r="E286" s="5">
        <v>8072</v>
      </c>
      <c r="F286" s="5">
        <f t="shared" si="48"/>
        <v>1928</v>
      </c>
    </row>
    <row r="287" spans="1:6">
      <c r="A287" s="6"/>
      <c r="B287" s="7"/>
      <c r="C287" s="4" t="s">
        <v>196</v>
      </c>
      <c r="D287" s="5">
        <v>200000</v>
      </c>
      <c r="E287" s="5">
        <v>123230</v>
      </c>
      <c r="F287" s="5">
        <f t="shared" si="48"/>
        <v>76770</v>
      </c>
    </row>
    <row r="288" spans="1:6">
      <c r="A288" s="6"/>
      <c r="B288" s="7" t="s">
        <v>6</v>
      </c>
      <c r="C288" s="12" t="s">
        <v>136</v>
      </c>
      <c r="D288" s="5">
        <v>20000</v>
      </c>
      <c r="E288" s="5">
        <v>3730</v>
      </c>
      <c r="F288" s="5">
        <f t="shared" si="48"/>
        <v>16270</v>
      </c>
    </row>
    <row r="289" spans="1:6">
      <c r="A289" s="62"/>
      <c r="B289" s="53"/>
      <c r="C289" s="68" t="s">
        <v>97</v>
      </c>
      <c r="D289" s="97">
        <f>SUM(D283:D288)</f>
        <v>279000</v>
      </c>
      <c r="E289" s="97">
        <f t="shared" ref="E289:F289" si="49">SUM(E283:E288)</f>
        <v>174836.05</v>
      </c>
      <c r="F289" s="97">
        <f t="shared" si="49"/>
        <v>104163.95</v>
      </c>
    </row>
    <row r="290" spans="1:6">
      <c r="A290" s="6"/>
      <c r="B290" s="7" t="s">
        <v>14</v>
      </c>
      <c r="C290" s="22" t="s">
        <v>15</v>
      </c>
      <c r="D290" s="5"/>
      <c r="E290" s="5"/>
      <c r="F290" s="5"/>
    </row>
    <row r="291" spans="1:6">
      <c r="A291" s="6"/>
      <c r="B291" s="7" t="s">
        <v>6</v>
      </c>
      <c r="C291" s="4" t="s">
        <v>16</v>
      </c>
      <c r="D291" s="5">
        <v>35000</v>
      </c>
      <c r="E291" s="5">
        <v>34994</v>
      </c>
      <c r="F291" s="5">
        <f>+D291-E291</f>
        <v>6</v>
      </c>
    </row>
    <row r="292" spans="1:6">
      <c r="A292" s="6"/>
      <c r="B292" s="7" t="s">
        <v>6</v>
      </c>
      <c r="C292" s="4" t="s">
        <v>78</v>
      </c>
      <c r="D292" s="5">
        <v>30000</v>
      </c>
      <c r="E292" s="5">
        <v>29991</v>
      </c>
      <c r="F292" s="5">
        <f>+D292-E292</f>
        <v>9</v>
      </c>
    </row>
    <row r="293" spans="1:6">
      <c r="A293" s="6"/>
      <c r="B293" s="7" t="s">
        <v>42</v>
      </c>
      <c r="C293" s="4" t="s">
        <v>77</v>
      </c>
      <c r="D293" s="5">
        <v>15000</v>
      </c>
      <c r="E293" s="5">
        <v>4035</v>
      </c>
      <c r="F293" s="5">
        <f>+D293-E293</f>
        <v>10965</v>
      </c>
    </row>
    <row r="294" spans="1:6">
      <c r="A294" s="62"/>
      <c r="B294" s="53"/>
      <c r="C294" s="68" t="s">
        <v>98</v>
      </c>
      <c r="D294" s="72">
        <f>SUM(D291:D293)</f>
        <v>80000</v>
      </c>
      <c r="E294" s="72">
        <f t="shared" ref="E294:F294" si="50">SUM(E291:E293)</f>
        <v>69020</v>
      </c>
      <c r="F294" s="72">
        <f t="shared" si="50"/>
        <v>10980</v>
      </c>
    </row>
    <row r="295" spans="1:6">
      <c r="A295" s="6"/>
      <c r="B295" s="7"/>
      <c r="C295" s="98" t="s">
        <v>94</v>
      </c>
      <c r="D295" s="83"/>
      <c r="E295" s="83"/>
      <c r="F295" s="83"/>
    </row>
    <row r="296" spans="1:6" s="99" customFormat="1">
      <c r="A296" s="93"/>
      <c r="B296" s="37" t="s">
        <v>6</v>
      </c>
      <c r="C296" s="91" t="s">
        <v>197</v>
      </c>
      <c r="D296" s="8">
        <v>15000</v>
      </c>
      <c r="E296" s="8">
        <v>5179</v>
      </c>
      <c r="F296" s="8">
        <f>D296-E296</f>
        <v>9821</v>
      </c>
    </row>
    <row r="297" spans="1:6" s="99" customFormat="1">
      <c r="A297" s="62"/>
      <c r="B297" s="89"/>
      <c r="C297" s="68" t="s">
        <v>99</v>
      </c>
      <c r="D297" s="72">
        <f>SUM(D296)</f>
        <v>15000</v>
      </c>
      <c r="E297" s="72">
        <f t="shared" ref="E297:F297" si="51">SUM(E296)</f>
        <v>5179</v>
      </c>
      <c r="F297" s="72">
        <f t="shared" si="51"/>
        <v>9821</v>
      </c>
    </row>
    <row r="298" spans="1:6">
      <c r="A298" s="24" t="s">
        <v>137</v>
      </c>
      <c r="B298" s="25"/>
      <c r="C298" s="28"/>
      <c r="D298" s="5"/>
      <c r="E298" s="5"/>
      <c r="F298" s="5"/>
    </row>
    <row r="299" spans="1:6">
      <c r="A299" s="24"/>
      <c r="B299" s="25" t="s">
        <v>33</v>
      </c>
      <c r="C299" s="28"/>
      <c r="D299" s="5"/>
      <c r="E299" s="5"/>
      <c r="F299" s="5"/>
    </row>
    <row r="300" spans="1:6">
      <c r="A300" s="24"/>
      <c r="B300" s="25"/>
      <c r="C300" s="28" t="s">
        <v>24</v>
      </c>
      <c r="D300" s="5"/>
      <c r="E300" s="5"/>
      <c r="F300" s="5"/>
    </row>
    <row r="301" spans="1:6">
      <c r="A301" s="24"/>
      <c r="B301" s="37" t="s">
        <v>6</v>
      </c>
      <c r="C301" s="38" t="s">
        <v>260</v>
      </c>
      <c r="D301" s="5">
        <v>4300</v>
      </c>
      <c r="E301" s="5">
        <v>4300</v>
      </c>
      <c r="F301" s="5">
        <f t="shared" ref="F301:F303" si="52">+D301-E301</f>
        <v>0</v>
      </c>
    </row>
    <row r="302" spans="1:6">
      <c r="A302" s="24"/>
      <c r="B302" s="37" t="s">
        <v>6</v>
      </c>
      <c r="C302" s="38" t="s">
        <v>261</v>
      </c>
      <c r="D302" s="5">
        <v>15000</v>
      </c>
      <c r="E302" s="5">
        <v>12000</v>
      </c>
      <c r="F302" s="5">
        <f t="shared" si="52"/>
        <v>3000</v>
      </c>
    </row>
    <row r="303" spans="1:6">
      <c r="A303" s="24"/>
      <c r="B303" s="37" t="s">
        <v>6</v>
      </c>
      <c r="C303" s="38" t="s">
        <v>262</v>
      </c>
      <c r="D303" s="5">
        <v>5400</v>
      </c>
      <c r="E303" s="5">
        <v>0</v>
      </c>
      <c r="F303" s="5">
        <f t="shared" si="52"/>
        <v>5400</v>
      </c>
    </row>
    <row r="304" spans="1:6">
      <c r="A304" s="24"/>
      <c r="B304" s="37" t="s">
        <v>6</v>
      </c>
      <c r="C304" s="38" t="s">
        <v>263</v>
      </c>
      <c r="D304" s="5">
        <v>31000</v>
      </c>
      <c r="E304" s="5">
        <v>31000</v>
      </c>
      <c r="F304" s="5">
        <f>+D304-E304</f>
        <v>0</v>
      </c>
    </row>
    <row r="305" spans="1:6">
      <c r="A305" s="24"/>
      <c r="B305" s="37" t="s">
        <v>42</v>
      </c>
      <c r="C305" s="38" t="s">
        <v>264</v>
      </c>
      <c r="D305" s="5">
        <v>3600</v>
      </c>
      <c r="E305" s="5">
        <v>3600</v>
      </c>
      <c r="F305" s="5">
        <f t="shared" ref="F305:F306" si="53">+D305-E305</f>
        <v>0</v>
      </c>
    </row>
    <row r="306" spans="1:6">
      <c r="A306" s="24"/>
      <c r="B306" s="37" t="s">
        <v>42</v>
      </c>
      <c r="C306" s="38" t="s">
        <v>265</v>
      </c>
      <c r="D306" s="5">
        <f>10000+10000</f>
        <v>20000</v>
      </c>
      <c r="E306" s="5">
        <v>20000</v>
      </c>
      <c r="F306" s="5">
        <f t="shared" si="53"/>
        <v>0</v>
      </c>
    </row>
    <row r="307" spans="1:6">
      <c r="A307" s="24"/>
      <c r="B307" s="37" t="s">
        <v>6</v>
      </c>
      <c r="C307" s="81" t="s">
        <v>138</v>
      </c>
      <c r="D307" s="5">
        <v>20000</v>
      </c>
      <c r="E307" s="5">
        <v>0</v>
      </c>
      <c r="F307" s="5">
        <f>+D307-E307</f>
        <v>20000</v>
      </c>
    </row>
    <row r="308" spans="1:6">
      <c r="A308" s="62"/>
      <c r="B308" s="53"/>
      <c r="C308" s="68" t="s">
        <v>102</v>
      </c>
      <c r="D308" s="72">
        <f>SUM(D298:D307)</f>
        <v>99300</v>
      </c>
      <c r="E308" s="72">
        <f>SUM(E298:E307)</f>
        <v>70900</v>
      </c>
      <c r="F308" s="72">
        <f>SUM(F298:F307)</f>
        <v>28400</v>
      </c>
    </row>
    <row r="309" spans="1:6">
      <c r="A309" s="206" t="s">
        <v>75</v>
      </c>
      <c r="B309" s="207"/>
      <c r="C309" s="208"/>
      <c r="D309" s="61">
        <f>+D271+D280+D289+D294+D297+D308</f>
        <v>1640070</v>
      </c>
      <c r="E309" s="61">
        <f t="shared" ref="E309:F309" si="54">+E271+E280+E289+E294+E297+E308</f>
        <v>1415433.37</v>
      </c>
      <c r="F309" s="61">
        <f t="shared" si="54"/>
        <v>224636.63</v>
      </c>
    </row>
    <row r="310" spans="1:6" ht="20.25" customHeight="1">
      <c r="A310" s="221" t="s">
        <v>32</v>
      </c>
      <c r="B310" s="222"/>
      <c r="C310" s="223"/>
      <c r="D310" s="21"/>
      <c r="E310" s="21"/>
      <c r="F310" s="21"/>
    </row>
    <row r="311" spans="1:6">
      <c r="A311" s="24" t="s">
        <v>5</v>
      </c>
      <c r="B311" s="25"/>
      <c r="C311" s="4"/>
      <c r="D311" s="5"/>
      <c r="E311" s="5"/>
      <c r="F311" s="5"/>
    </row>
    <row r="312" spans="1:6" ht="15.75" customHeight="1">
      <c r="A312" s="24"/>
      <c r="B312" s="25" t="s">
        <v>18</v>
      </c>
      <c r="C312" s="4"/>
      <c r="D312" s="5"/>
      <c r="E312" s="5"/>
      <c r="F312" s="5"/>
    </row>
    <row r="313" spans="1:6">
      <c r="A313" s="6"/>
      <c r="B313" s="7" t="s">
        <v>6</v>
      </c>
      <c r="C313" s="4" t="s">
        <v>7</v>
      </c>
      <c r="D313" s="5">
        <v>379000</v>
      </c>
      <c r="E313" s="5">
        <v>365820</v>
      </c>
      <c r="F313" s="5">
        <f>+D313-E313</f>
        <v>13180</v>
      </c>
    </row>
    <row r="314" spans="1:6">
      <c r="A314" s="6"/>
      <c r="B314" s="7" t="s">
        <v>6</v>
      </c>
      <c r="C314" s="4" t="s">
        <v>58</v>
      </c>
      <c r="D314" s="5">
        <v>20000</v>
      </c>
      <c r="E314" s="5">
        <v>17220</v>
      </c>
      <c r="F314" s="5">
        <f>+D314-E314</f>
        <v>2780</v>
      </c>
    </row>
    <row r="315" spans="1:6">
      <c r="A315" s="6"/>
      <c r="B315" s="7" t="s">
        <v>6</v>
      </c>
      <c r="C315" s="4" t="s">
        <v>318</v>
      </c>
      <c r="D315" s="5">
        <v>19100</v>
      </c>
      <c r="E315" s="5">
        <v>19016</v>
      </c>
      <c r="F315" s="5">
        <f>+D315-E315</f>
        <v>84</v>
      </c>
    </row>
    <row r="316" spans="1:6">
      <c r="A316" s="6"/>
      <c r="B316" s="39" t="s">
        <v>31</v>
      </c>
      <c r="C316" s="40"/>
      <c r="D316" s="31"/>
      <c r="E316" s="31"/>
      <c r="F316" s="31"/>
    </row>
    <row r="317" spans="1:6">
      <c r="A317" s="6"/>
      <c r="B317" s="7" t="s">
        <v>6</v>
      </c>
      <c r="C317" s="4" t="s">
        <v>124</v>
      </c>
      <c r="D317" s="8">
        <f>221000-19100</f>
        <v>201900</v>
      </c>
      <c r="E317" s="8">
        <v>191100</v>
      </c>
      <c r="F317" s="5">
        <f>+D317-E317</f>
        <v>10800</v>
      </c>
    </row>
    <row r="318" spans="1:6">
      <c r="A318" s="10"/>
      <c r="B318" s="100" t="s">
        <v>6</v>
      </c>
      <c r="C318" s="188" t="s">
        <v>125</v>
      </c>
      <c r="D318" s="11">
        <v>104000</v>
      </c>
      <c r="E318" s="11">
        <v>87900</v>
      </c>
      <c r="F318" s="11">
        <f>+D318-E318</f>
        <v>16100</v>
      </c>
    </row>
    <row r="319" spans="1:6">
      <c r="A319" s="101"/>
      <c r="B319" s="102"/>
      <c r="C319" s="103" t="s">
        <v>95</v>
      </c>
      <c r="D319" s="104">
        <f>SUM(D313:D318)</f>
        <v>724000</v>
      </c>
      <c r="E319" s="104">
        <f>SUM(E313:E318)</f>
        <v>681056</v>
      </c>
      <c r="F319" s="104">
        <f>SUM(F313:F318)</f>
        <v>42944</v>
      </c>
    </row>
    <row r="320" spans="1:6">
      <c r="A320" s="24" t="s">
        <v>128</v>
      </c>
      <c r="B320" s="7"/>
      <c r="C320" s="84"/>
      <c r="D320" s="83"/>
      <c r="E320" s="83"/>
      <c r="F320" s="83"/>
    </row>
    <row r="321" spans="1:6">
      <c r="A321" s="6"/>
      <c r="B321" s="29" t="s">
        <v>19</v>
      </c>
      <c r="C321" s="28"/>
      <c r="D321" s="5"/>
      <c r="E321" s="5"/>
      <c r="F321" s="5"/>
    </row>
    <row r="322" spans="1:6">
      <c r="A322" s="6"/>
      <c r="B322" s="29"/>
      <c r="C322" s="28" t="s">
        <v>11</v>
      </c>
      <c r="D322" s="5"/>
      <c r="E322" s="5"/>
      <c r="F322" s="5" t="s">
        <v>14</v>
      </c>
    </row>
    <row r="323" spans="1:6">
      <c r="A323" s="6"/>
      <c r="B323" s="7" t="s">
        <v>42</v>
      </c>
      <c r="C323" s="4" t="s">
        <v>56</v>
      </c>
      <c r="D323" s="5">
        <v>10000</v>
      </c>
      <c r="E323" s="5">
        <v>0</v>
      </c>
      <c r="F323" s="5">
        <f>+D323-E323</f>
        <v>10000</v>
      </c>
    </row>
    <row r="324" spans="1:6">
      <c r="A324" s="6"/>
      <c r="B324" s="7" t="s">
        <v>6</v>
      </c>
      <c r="C324" s="4" t="s">
        <v>69</v>
      </c>
      <c r="D324" s="5">
        <f>10000-10000</f>
        <v>0</v>
      </c>
      <c r="E324" s="5">
        <v>0</v>
      </c>
      <c r="F324" s="5">
        <f>+D324-E324</f>
        <v>0</v>
      </c>
    </row>
    <row r="325" spans="1:6">
      <c r="A325" s="6"/>
      <c r="B325" s="7" t="s">
        <v>6</v>
      </c>
      <c r="C325" s="4" t="s">
        <v>9</v>
      </c>
      <c r="D325" s="5">
        <f>10000-10000</f>
        <v>0</v>
      </c>
      <c r="E325" s="5">
        <v>0</v>
      </c>
      <c r="F325" s="5">
        <f>+D325-E325</f>
        <v>0</v>
      </c>
    </row>
    <row r="326" spans="1:6">
      <c r="A326" s="10"/>
      <c r="B326" s="100" t="s">
        <v>6</v>
      </c>
      <c r="C326" s="4" t="s">
        <v>10</v>
      </c>
      <c r="D326" s="5">
        <f>100000-10000-60000</f>
        <v>30000</v>
      </c>
      <c r="E326" s="5">
        <v>10716</v>
      </c>
      <c r="F326" s="5">
        <f>+D326-E326</f>
        <v>19284</v>
      </c>
    </row>
    <row r="327" spans="1:6">
      <c r="A327" s="105"/>
      <c r="B327" s="106"/>
      <c r="C327" s="103" t="s">
        <v>96</v>
      </c>
      <c r="D327" s="104">
        <f>SUM(D323:D326)</f>
        <v>40000</v>
      </c>
      <c r="E327" s="104">
        <f t="shared" ref="E327:F327" si="55">SUM(E323:E326)</f>
        <v>10716</v>
      </c>
      <c r="F327" s="104">
        <f t="shared" si="55"/>
        <v>29284</v>
      </c>
    </row>
    <row r="328" spans="1:6">
      <c r="A328" s="6"/>
      <c r="B328" s="7" t="s">
        <v>14</v>
      </c>
      <c r="C328" s="28" t="s">
        <v>12</v>
      </c>
      <c r="D328" s="5"/>
      <c r="E328" s="5"/>
      <c r="F328" s="5"/>
    </row>
    <row r="329" spans="1:6">
      <c r="A329" s="6"/>
      <c r="B329" s="7" t="s">
        <v>6</v>
      </c>
      <c r="C329" s="4" t="s">
        <v>13</v>
      </c>
      <c r="D329" s="5">
        <f>80000-40000</f>
        <v>40000</v>
      </c>
      <c r="E329" s="5">
        <v>28150</v>
      </c>
      <c r="F329" s="5">
        <f>+D329-E329</f>
        <v>11850</v>
      </c>
    </row>
    <row r="330" spans="1:6">
      <c r="A330" s="6"/>
      <c r="B330" s="7" t="s">
        <v>6</v>
      </c>
      <c r="C330" s="12" t="s">
        <v>89</v>
      </c>
      <c r="D330" s="5"/>
      <c r="E330" s="5"/>
      <c r="F330" s="5"/>
    </row>
    <row r="331" spans="1:6">
      <c r="A331" s="6"/>
      <c r="B331" s="7"/>
      <c r="C331" s="4" t="s">
        <v>195</v>
      </c>
      <c r="D331" s="5">
        <f>35000-10000</f>
        <v>25000</v>
      </c>
      <c r="E331" s="5">
        <v>12736</v>
      </c>
      <c r="F331" s="5">
        <f>+D331-E331</f>
        <v>12264</v>
      </c>
    </row>
    <row r="332" spans="1:6">
      <c r="A332" s="6"/>
      <c r="B332" s="7" t="s">
        <v>6</v>
      </c>
      <c r="C332" s="12" t="s">
        <v>136</v>
      </c>
      <c r="D332" s="5">
        <f>30000-20000</f>
        <v>10000</v>
      </c>
      <c r="E332" s="5">
        <v>1540</v>
      </c>
      <c r="F332" s="5">
        <f>+D332-E332</f>
        <v>8460</v>
      </c>
    </row>
    <row r="333" spans="1:6">
      <c r="A333" s="62"/>
      <c r="B333" s="53"/>
      <c r="C333" s="71" t="s">
        <v>97</v>
      </c>
      <c r="D333" s="72">
        <f>SUM(D329:D332)</f>
        <v>75000</v>
      </c>
      <c r="E333" s="72">
        <f t="shared" ref="E333:F333" si="56">SUM(E329:E332)</f>
        <v>42426</v>
      </c>
      <c r="F333" s="72">
        <f t="shared" si="56"/>
        <v>32574</v>
      </c>
    </row>
    <row r="334" spans="1:6">
      <c r="A334" s="6"/>
      <c r="B334" s="7" t="s">
        <v>14</v>
      </c>
      <c r="C334" s="28" t="s">
        <v>15</v>
      </c>
      <c r="D334" s="5"/>
      <c r="E334" s="5"/>
      <c r="F334" s="5"/>
    </row>
    <row r="335" spans="1:6">
      <c r="A335" s="6"/>
      <c r="B335" s="7" t="s">
        <v>6</v>
      </c>
      <c r="C335" s="4" t="s">
        <v>16</v>
      </c>
      <c r="D335" s="5">
        <v>15000</v>
      </c>
      <c r="E335" s="5">
        <v>15000</v>
      </c>
      <c r="F335" s="5">
        <f>+D335-E335</f>
        <v>0</v>
      </c>
    </row>
    <row r="336" spans="1:6">
      <c r="A336" s="6"/>
      <c r="B336" s="7" t="s">
        <v>6</v>
      </c>
      <c r="C336" s="4" t="s">
        <v>77</v>
      </c>
      <c r="D336" s="5">
        <v>20000</v>
      </c>
      <c r="E336" s="5">
        <v>5740</v>
      </c>
      <c r="F336" s="5">
        <f>+D336-E336</f>
        <v>14260</v>
      </c>
    </row>
    <row r="337" spans="1:6">
      <c r="A337" s="6"/>
      <c r="B337" s="7" t="s">
        <v>6</v>
      </c>
      <c r="C337" s="4" t="s">
        <v>78</v>
      </c>
      <c r="D337" s="5">
        <v>15000</v>
      </c>
      <c r="E337" s="5">
        <v>15000</v>
      </c>
      <c r="F337" s="5">
        <f>+D337-E337</f>
        <v>0</v>
      </c>
    </row>
    <row r="338" spans="1:6">
      <c r="A338" s="6"/>
      <c r="B338" s="7" t="s">
        <v>42</v>
      </c>
      <c r="C338" s="4" t="s">
        <v>92</v>
      </c>
      <c r="D338" s="5">
        <f>200000-50000+100000</f>
        <v>250000</v>
      </c>
      <c r="E338" s="5">
        <v>203000</v>
      </c>
      <c r="F338" s="5">
        <f>+D338-E338</f>
        <v>47000</v>
      </c>
    </row>
    <row r="339" spans="1:6">
      <c r="A339" s="6"/>
      <c r="B339" s="7" t="s">
        <v>42</v>
      </c>
      <c r="C339" s="4" t="s">
        <v>292</v>
      </c>
      <c r="D339" s="5">
        <v>50000</v>
      </c>
      <c r="E339" s="5">
        <v>45500</v>
      </c>
      <c r="F339" s="5">
        <f>+D339-E339</f>
        <v>4500</v>
      </c>
    </row>
    <row r="340" spans="1:6">
      <c r="A340" s="62"/>
      <c r="B340" s="53"/>
      <c r="C340" s="71" t="s">
        <v>98</v>
      </c>
      <c r="D340" s="72">
        <f t="shared" ref="D340:E340" si="57">SUM(D335:D339)</f>
        <v>350000</v>
      </c>
      <c r="E340" s="72">
        <f t="shared" si="57"/>
        <v>284240</v>
      </c>
      <c r="F340" s="72">
        <f>SUM(F335:F339)</f>
        <v>65760</v>
      </c>
    </row>
    <row r="341" spans="1:6">
      <c r="A341" s="24" t="s">
        <v>137</v>
      </c>
      <c r="B341" s="25"/>
      <c r="C341" s="28"/>
      <c r="D341" s="5"/>
      <c r="E341" s="5"/>
      <c r="F341" s="5"/>
    </row>
    <row r="342" spans="1:6">
      <c r="A342" s="24"/>
      <c r="B342" s="25" t="s">
        <v>33</v>
      </c>
      <c r="C342" s="28"/>
      <c r="D342" s="5"/>
      <c r="E342" s="5"/>
      <c r="F342" s="5"/>
    </row>
    <row r="343" spans="1:6">
      <c r="A343" s="24"/>
      <c r="B343" s="7" t="s">
        <v>14</v>
      </c>
      <c r="C343" s="28" t="s">
        <v>24</v>
      </c>
      <c r="D343" s="5"/>
      <c r="E343" s="5"/>
      <c r="F343" s="5"/>
    </row>
    <row r="344" spans="1:6">
      <c r="A344" s="24"/>
      <c r="B344" s="7" t="s">
        <v>6</v>
      </c>
      <c r="C344" s="38" t="s">
        <v>266</v>
      </c>
      <c r="D344" s="5">
        <v>28400</v>
      </c>
      <c r="E344" s="5">
        <v>23200</v>
      </c>
      <c r="F344" s="5">
        <f>+D344-E344</f>
        <v>5200</v>
      </c>
    </row>
    <row r="345" spans="1:6">
      <c r="A345" s="24"/>
      <c r="B345" s="7" t="s">
        <v>6</v>
      </c>
      <c r="C345" s="38" t="s">
        <v>267</v>
      </c>
      <c r="D345" s="5">
        <v>10000</v>
      </c>
      <c r="E345" s="5">
        <v>8000</v>
      </c>
      <c r="F345" s="5">
        <f>+D345-E345</f>
        <v>2000</v>
      </c>
    </row>
    <row r="346" spans="1:6">
      <c r="A346" s="24"/>
      <c r="B346" s="7" t="s">
        <v>42</v>
      </c>
      <c r="C346" s="38" t="s">
        <v>268</v>
      </c>
      <c r="D346" s="5">
        <v>16670</v>
      </c>
      <c r="E346" s="5">
        <v>16670</v>
      </c>
      <c r="F346" s="5">
        <f>+D346-E346</f>
        <v>0</v>
      </c>
    </row>
    <row r="347" spans="1:6">
      <c r="A347" s="24"/>
      <c r="B347" s="37" t="s">
        <v>6</v>
      </c>
      <c r="C347" s="38" t="s">
        <v>263</v>
      </c>
      <c r="D347" s="5">
        <v>31000</v>
      </c>
      <c r="E347" s="5">
        <v>31000</v>
      </c>
      <c r="F347" s="5">
        <f t="shared" ref="F347:F348" si="58">+D347-E347</f>
        <v>0</v>
      </c>
    </row>
    <row r="348" spans="1:6">
      <c r="A348" s="24"/>
      <c r="B348" s="37" t="s">
        <v>42</v>
      </c>
      <c r="C348" s="38" t="s">
        <v>264</v>
      </c>
      <c r="D348" s="5">
        <v>13000</v>
      </c>
      <c r="E348" s="5">
        <v>13000</v>
      </c>
      <c r="F348" s="5">
        <f t="shared" si="58"/>
        <v>0</v>
      </c>
    </row>
    <row r="349" spans="1:6">
      <c r="A349" s="24"/>
      <c r="B349" s="7" t="s">
        <v>6</v>
      </c>
      <c r="C349" s="12" t="s">
        <v>130</v>
      </c>
      <c r="D349" s="5">
        <v>30000</v>
      </c>
      <c r="E349" s="5">
        <v>5350</v>
      </c>
      <c r="F349" s="5">
        <f>+D349-E349</f>
        <v>24650</v>
      </c>
    </row>
    <row r="350" spans="1:6">
      <c r="A350" s="62"/>
      <c r="B350" s="53"/>
      <c r="C350" s="71" t="s">
        <v>102</v>
      </c>
      <c r="D350" s="72">
        <f>SUM(D344:D349)</f>
        <v>129070</v>
      </c>
      <c r="E350" s="72">
        <f>SUM(E344:E349)</f>
        <v>97220</v>
      </c>
      <c r="F350" s="72">
        <f>SUM(F344:F349)</f>
        <v>31850</v>
      </c>
    </row>
    <row r="351" spans="1:6">
      <c r="A351" s="27"/>
      <c r="B351" s="30"/>
      <c r="C351" s="28" t="s">
        <v>25</v>
      </c>
      <c r="D351" s="5"/>
      <c r="E351" s="5"/>
      <c r="F351" s="5"/>
    </row>
    <row r="352" spans="1:6">
      <c r="A352" s="27"/>
      <c r="B352" s="95" t="s">
        <v>198</v>
      </c>
      <c r="C352" s="28"/>
      <c r="D352" s="5"/>
      <c r="E352" s="5"/>
      <c r="F352" s="5"/>
    </row>
    <row r="353" spans="1:8">
      <c r="A353" s="27"/>
      <c r="B353" s="30">
        <v>1</v>
      </c>
      <c r="C353" s="139" t="s">
        <v>269</v>
      </c>
      <c r="D353" s="5">
        <v>125000</v>
      </c>
      <c r="E353" s="5">
        <v>125000</v>
      </c>
      <c r="F353" s="5">
        <f t="shared" ref="F353:F359" si="59">+D353-E353</f>
        <v>0</v>
      </c>
    </row>
    <row r="354" spans="1:8">
      <c r="A354" s="27"/>
      <c r="B354" s="30">
        <v>2</v>
      </c>
      <c r="C354" s="140" t="s">
        <v>270</v>
      </c>
      <c r="D354" s="5">
        <v>500000</v>
      </c>
      <c r="E354" s="5">
        <v>498000</v>
      </c>
      <c r="F354" s="5">
        <f t="shared" si="59"/>
        <v>2000</v>
      </c>
      <c r="H354" s="47">
        <v>687191</v>
      </c>
    </row>
    <row r="355" spans="1:8">
      <c r="A355" s="27"/>
      <c r="B355" s="30">
        <v>3</v>
      </c>
      <c r="C355" s="140" t="s">
        <v>322</v>
      </c>
      <c r="D355" s="5">
        <v>500000</v>
      </c>
      <c r="E355" s="5">
        <v>498000</v>
      </c>
      <c r="F355" s="5">
        <f t="shared" si="59"/>
        <v>2000</v>
      </c>
      <c r="H355" s="47">
        <v>1900269.01</v>
      </c>
    </row>
    <row r="356" spans="1:8">
      <c r="A356" s="27"/>
      <c r="B356" s="30">
        <v>4</v>
      </c>
      <c r="C356" s="140" t="s">
        <v>271</v>
      </c>
      <c r="D356" s="5">
        <v>408000</v>
      </c>
      <c r="E356" s="5">
        <v>284000</v>
      </c>
      <c r="F356" s="5">
        <f t="shared" si="59"/>
        <v>124000</v>
      </c>
      <c r="H356" s="47">
        <v>3957631.32</v>
      </c>
    </row>
    <row r="357" spans="1:8">
      <c r="A357" s="27"/>
      <c r="B357" s="30">
        <v>5</v>
      </c>
      <c r="C357" s="140" t="s">
        <v>272</v>
      </c>
      <c r="D357" s="5">
        <v>497000</v>
      </c>
      <c r="E357" s="5">
        <v>495000</v>
      </c>
      <c r="F357" s="5">
        <f t="shared" si="59"/>
        <v>2000</v>
      </c>
      <c r="H357" s="173">
        <v>1499941</v>
      </c>
    </row>
    <row r="358" spans="1:8">
      <c r="A358" s="27"/>
      <c r="B358" s="30">
        <v>6</v>
      </c>
      <c r="C358" s="140" t="s">
        <v>273</v>
      </c>
      <c r="D358" s="5">
        <v>182500</v>
      </c>
      <c r="E358" s="5">
        <v>182000</v>
      </c>
      <c r="F358" s="5">
        <f t="shared" si="59"/>
        <v>500</v>
      </c>
      <c r="H358" s="173">
        <v>2458808.3199999998</v>
      </c>
    </row>
    <row r="359" spans="1:8">
      <c r="A359" s="27"/>
      <c r="B359" s="30">
        <v>7</v>
      </c>
      <c r="C359" s="140" t="s">
        <v>274</v>
      </c>
      <c r="D359" s="5">
        <v>333500</v>
      </c>
      <c r="E359" s="5">
        <v>333000</v>
      </c>
      <c r="F359" s="5">
        <f t="shared" si="59"/>
        <v>500</v>
      </c>
      <c r="H359" s="173">
        <v>2581756.7599999998</v>
      </c>
    </row>
    <row r="360" spans="1:8">
      <c r="A360" s="27"/>
      <c r="B360" s="30" t="s">
        <v>161</v>
      </c>
      <c r="C360" s="140"/>
      <c r="D360" s="5"/>
      <c r="E360" s="5"/>
      <c r="F360" s="5"/>
      <c r="H360" s="173">
        <v>779621.09</v>
      </c>
    </row>
    <row r="361" spans="1:8">
      <c r="A361" s="27"/>
      <c r="B361" s="30"/>
      <c r="C361" s="139" t="s">
        <v>275</v>
      </c>
      <c r="D361" s="5">
        <v>630000</v>
      </c>
      <c r="E361" s="5">
        <v>629818</v>
      </c>
      <c r="F361" s="5">
        <f t="shared" ref="F361:F363" si="60">+D361-E361</f>
        <v>182</v>
      </c>
      <c r="H361" s="173">
        <v>1773200</v>
      </c>
    </row>
    <row r="362" spans="1:8">
      <c r="A362" s="27"/>
      <c r="B362" s="30"/>
      <c r="C362" s="139" t="s">
        <v>276</v>
      </c>
      <c r="D362" s="5">
        <v>544000</v>
      </c>
      <c r="E362" s="5">
        <v>542000</v>
      </c>
      <c r="F362" s="5">
        <f t="shared" si="60"/>
        <v>2000</v>
      </c>
      <c r="H362" s="173">
        <v>479464.23</v>
      </c>
    </row>
    <row r="363" spans="1:8">
      <c r="A363" s="10"/>
      <c r="B363" s="100"/>
      <c r="C363" s="189" t="s">
        <v>277</v>
      </c>
      <c r="D363" s="11">
        <v>159000</v>
      </c>
      <c r="E363" s="11">
        <v>158500</v>
      </c>
      <c r="F363" s="11">
        <f t="shared" si="60"/>
        <v>500</v>
      </c>
      <c r="H363" s="173">
        <v>4444818</v>
      </c>
    </row>
    <row r="364" spans="1:8">
      <c r="A364" s="6"/>
      <c r="B364" s="7"/>
      <c r="C364" s="140" t="s">
        <v>278</v>
      </c>
      <c r="D364" s="5">
        <v>303000</v>
      </c>
      <c r="E364" s="5">
        <v>302500</v>
      </c>
      <c r="F364" s="5">
        <f t="shared" ref="F364:F366" si="61">+D364-E364</f>
        <v>500</v>
      </c>
      <c r="H364" s="173">
        <v>25000</v>
      </c>
    </row>
    <row r="365" spans="1:8">
      <c r="A365" s="6"/>
      <c r="B365" s="7" t="s">
        <v>291</v>
      </c>
      <c r="C365" s="140" t="s">
        <v>307</v>
      </c>
      <c r="D365" s="5">
        <v>97000</v>
      </c>
      <c r="E365" s="5">
        <v>97000</v>
      </c>
      <c r="F365" s="5">
        <f t="shared" si="61"/>
        <v>0</v>
      </c>
      <c r="H365" s="173"/>
    </row>
    <row r="366" spans="1:8">
      <c r="A366" s="6"/>
      <c r="B366" s="7" t="s">
        <v>291</v>
      </c>
      <c r="C366" s="140" t="s">
        <v>308</v>
      </c>
      <c r="D366" s="5">
        <v>97000</v>
      </c>
      <c r="E366" s="5">
        <v>97000</v>
      </c>
      <c r="F366" s="5">
        <f t="shared" si="61"/>
        <v>0</v>
      </c>
      <c r="H366" s="173"/>
    </row>
    <row r="367" spans="1:8" ht="22.5" thickBot="1">
      <c r="A367" s="62"/>
      <c r="B367" s="53"/>
      <c r="C367" s="71" t="s">
        <v>103</v>
      </c>
      <c r="D367" s="72">
        <f>SUM(D353:D366)</f>
        <v>4376000</v>
      </c>
      <c r="E367" s="72">
        <f>SUM(E353:E366)</f>
        <v>4241818</v>
      </c>
      <c r="F367" s="72">
        <f>SUM(F353:F366)</f>
        <v>134182</v>
      </c>
      <c r="H367" s="174">
        <f>SUM(H354:H364)</f>
        <v>20587700.73</v>
      </c>
    </row>
    <row r="368" spans="1:8" ht="22.5" thickTop="1">
      <c r="A368" s="212" t="s">
        <v>76</v>
      </c>
      <c r="B368" s="213"/>
      <c r="C368" s="214"/>
      <c r="D368" s="73">
        <f>+D319+D327+D333+D340+D350+D367</f>
        <v>5694070</v>
      </c>
      <c r="E368" s="73">
        <f>+E319+E327+E333+E340+E350+E367</f>
        <v>5357476</v>
      </c>
      <c r="F368" s="73">
        <f>+F319+F327+F333+F340+F350+F367</f>
        <v>336594</v>
      </c>
    </row>
    <row r="369" spans="1:8" ht="33.75" customHeight="1">
      <c r="A369" s="215" t="s">
        <v>139</v>
      </c>
      <c r="B369" s="216"/>
      <c r="C369" s="217"/>
      <c r="D369" s="107">
        <f>+D18+D258+D309+D368</f>
        <v>22227020</v>
      </c>
      <c r="E369" s="107">
        <f>+E18+E258+E309+E368</f>
        <v>20587700.73</v>
      </c>
      <c r="F369" s="107">
        <f>+F18+F258+F309+F368</f>
        <v>1639319.27</v>
      </c>
    </row>
    <row r="370" spans="1:8">
      <c r="D370" s="47"/>
      <c r="E370" s="48"/>
      <c r="G370" s="47"/>
      <c r="H370" s="42"/>
    </row>
    <row r="371" spans="1:8">
      <c r="A371" s="49"/>
      <c r="D371" s="50"/>
    </row>
    <row r="372" spans="1:8">
      <c r="A372" s="49"/>
      <c r="D372" s="50"/>
    </row>
    <row r="373" spans="1:8">
      <c r="A373" s="49"/>
      <c r="D373" s="50"/>
    </row>
    <row r="374" spans="1:8">
      <c r="A374" s="49"/>
      <c r="D374" s="50"/>
    </row>
    <row r="375" spans="1:8">
      <c r="A375" s="49"/>
      <c r="D375" s="50"/>
    </row>
    <row r="376" spans="1:8">
      <c r="A376" s="49"/>
      <c r="D376" s="50"/>
    </row>
    <row r="377" spans="1:8">
      <c r="A377" s="49"/>
      <c r="D377" s="50"/>
    </row>
    <row r="378" spans="1:8">
      <c r="A378" s="49"/>
      <c r="D378" s="50"/>
    </row>
    <row r="379" spans="1:8">
      <c r="A379" s="49"/>
      <c r="D379" s="50"/>
    </row>
    <row r="380" spans="1:8">
      <c r="A380" s="49"/>
      <c r="D380" s="50"/>
    </row>
    <row r="381" spans="1:8">
      <c r="A381" s="49"/>
      <c r="D381" s="50"/>
    </row>
    <row r="382" spans="1:8">
      <c r="A382" s="49"/>
      <c r="D382" s="50"/>
    </row>
    <row r="383" spans="1:8">
      <c r="A383" s="49"/>
      <c r="D383" s="50"/>
    </row>
    <row r="384" spans="1:8">
      <c r="A384" s="49"/>
      <c r="D384" s="50"/>
    </row>
    <row r="385" spans="1:4">
      <c r="A385" s="49"/>
      <c r="D385" s="50"/>
    </row>
    <row r="386" spans="1:4">
      <c r="A386" s="49"/>
      <c r="D386" s="50"/>
    </row>
    <row r="387" spans="1:4">
      <c r="A387" s="49"/>
      <c r="D387" s="50"/>
    </row>
    <row r="388" spans="1:4">
      <c r="A388" s="49"/>
      <c r="D388" s="50"/>
    </row>
    <row r="389" spans="1:4">
      <c r="A389" s="49"/>
      <c r="D389" s="50"/>
    </row>
    <row r="390" spans="1:4">
      <c r="A390" s="49"/>
      <c r="D390" s="50"/>
    </row>
    <row r="391" spans="1:4">
      <c r="A391" s="49"/>
      <c r="D391" s="50"/>
    </row>
    <row r="392" spans="1:4">
      <c r="A392" s="49"/>
      <c r="D392" s="50"/>
    </row>
    <row r="393" spans="1:4">
      <c r="A393" s="49"/>
      <c r="D393" s="50"/>
    </row>
    <row r="394" spans="1:4">
      <c r="A394" s="49"/>
      <c r="D394" s="50"/>
    </row>
    <row r="395" spans="1:4">
      <c r="A395" s="49"/>
      <c r="D395" s="50"/>
    </row>
    <row r="396" spans="1:4">
      <c r="A396" s="49"/>
      <c r="D396" s="50"/>
    </row>
    <row r="397" spans="1:4">
      <c r="A397" s="49"/>
      <c r="D397" s="50"/>
    </row>
    <row r="398" spans="1:4">
      <c r="A398" s="49"/>
      <c r="D398" s="50"/>
    </row>
    <row r="399" spans="1:4">
      <c r="A399" s="49"/>
      <c r="D399" s="50"/>
    </row>
    <row r="400" spans="1:4">
      <c r="A400" s="49"/>
      <c r="D400" s="50"/>
    </row>
    <row r="401" spans="1:6">
      <c r="A401" s="49"/>
      <c r="D401" s="50"/>
    </row>
    <row r="402" spans="1:6">
      <c r="A402" s="49"/>
      <c r="D402" s="50"/>
    </row>
    <row r="403" spans="1:6">
      <c r="A403" s="49"/>
      <c r="D403" s="50"/>
    </row>
    <row r="404" spans="1:6">
      <c r="A404" s="49"/>
      <c r="D404" s="50"/>
    </row>
    <row r="405" spans="1:6">
      <c r="A405" s="49"/>
      <c r="D405" s="50"/>
    </row>
    <row r="406" spans="1:6">
      <c r="A406" s="49"/>
      <c r="D406" s="50"/>
    </row>
    <row r="407" spans="1:6">
      <c r="A407" s="49"/>
      <c r="D407" s="50"/>
    </row>
    <row r="408" spans="1:6">
      <c r="A408" s="49"/>
      <c r="D408" s="50"/>
    </row>
    <row r="409" spans="1:6">
      <c r="A409" s="179" t="s">
        <v>309</v>
      </c>
      <c r="D409" s="50">
        <f>E18</f>
        <v>687191</v>
      </c>
    </row>
    <row r="410" spans="1:6">
      <c r="A410" s="179" t="s">
        <v>119</v>
      </c>
      <c r="D410" s="50">
        <f>E28</f>
        <v>1900269.0099999998</v>
      </c>
    </row>
    <row r="411" spans="1:6">
      <c r="A411" s="179" t="s">
        <v>158</v>
      </c>
      <c r="E411" s="50"/>
    </row>
    <row r="412" spans="1:6">
      <c r="A412" s="179" t="s">
        <v>310</v>
      </c>
      <c r="D412" s="50"/>
    </row>
    <row r="413" spans="1:6">
      <c r="A413" s="179" t="s">
        <v>11</v>
      </c>
      <c r="D413" s="50">
        <f>E49+E105+E280+E327</f>
        <v>1499941</v>
      </c>
      <c r="E413" s="47"/>
      <c r="F413" s="42"/>
    </row>
    <row r="414" spans="1:6">
      <c r="A414" s="179" t="s">
        <v>12</v>
      </c>
      <c r="D414" s="50">
        <f>E61+E113+E127+E153+E170+E212+E220+E238+E289+E333</f>
        <v>2458808.3199999998</v>
      </c>
    </row>
    <row r="415" spans="1:6">
      <c r="A415" s="179" t="s">
        <v>15</v>
      </c>
    </row>
    <row r="416" spans="1:6">
      <c r="A416" s="179" t="s">
        <v>94</v>
      </c>
    </row>
    <row r="417" spans="1:4">
      <c r="A417" s="179" t="s">
        <v>24</v>
      </c>
    </row>
    <row r="418" spans="1:4">
      <c r="A418" s="179" t="s">
        <v>25</v>
      </c>
      <c r="D418" s="50">
        <f>E367</f>
        <v>4241818</v>
      </c>
    </row>
    <row r="419" spans="1:4">
      <c r="A419" s="179" t="s">
        <v>311</v>
      </c>
      <c r="D419" s="50">
        <f>E99</f>
        <v>25000</v>
      </c>
    </row>
    <row r="420" spans="1:4">
      <c r="A420" s="179" t="s">
        <v>163</v>
      </c>
      <c r="D420" s="50">
        <f>E186+E198</f>
        <v>1758200</v>
      </c>
    </row>
  </sheetData>
  <mergeCells count="14">
    <mergeCell ref="A368:C368"/>
    <mergeCell ref="A369:C369"/>
    <mergeCell ref="A258:C258"/>
    <mergeCell ref="A259:C259"/>
    <mergeCell ref="A309:C309"/>
    <mergeCell ref="A310:C310"/>
    <mergeCell ref="A100:C100"/>
    <mergeCell ref="A19:C19"/>
    <mergeCell ref="A18:C18"/>
    <mergeCell ref="A3:F3"/>
    <mergeCell ref="A1:F1"/>
    <mergeCell ref="A2:F2"/>
    <mergeCell ref="A4:F4"/>
    <mergeCell ref="A5:C5"/>
  </mergeCells>
  <phoneticPr fontId="15" type="noConversion"/>
  <pageMargins left="1.0236220472440944" right="0.15748031496062992" top="0.19685039370078741" bottom="0.19685039370078741" header="0.31496062992125984" footer="0.19685039370078741"/>
  <pageSetup paperSize="9" scale="75" fitToHeight="7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3"/>
  <sheetViews>
    <sheetView tabSelected="1" view="pageBreakPreview" topLeftCell="A85" zoomScaleNormal="75" workbookViewId="0">
      <selection activeCell="C96" sqref="C96"/>
    </sheetView>
  </sheetViews>
  <sheetFormatPr defaultRowHeight="23.25"/>
  <cols>
    <col min="1" max="1" width="4.28515625" style="146" customWidth="1"/>
    <col min="2" max="2" width="7.140625" style="148" customWidth="1"/>
    <col min="3" max="3" width="44.42578125" style="146" bestFit="1" customWidth="1"/>
    <col min="4" max="4" width="16.28515625" style="146" bestFit="1" customWidth="1"/>
    <col min="5" max="5" width="13.85546875" style="146" bestFit="1" customWidth="1"/>
    <col min="6" max="6" width="17.85546875" style="146" bestFit="1" customWidth="1"/>
    <col min="7" max="7" width="9.140625" style="146" customWidth="1"/>
    <col min="8" max="8" width="15" style="146" customWidth="1"/>
    <col min="9" max="9" width="12.7109375" style="147" bestFit="1" customWidth="1"/>
    <col min="10" max="16384" width="9.140625" style="146"/>
  </cols>
  <sheetData>
    <row r="1" spans="1:6">
      <c r="A1" s="227" t="s">
        <v>142</v>
      </c>
      <c r="B1" s="227"/>
      <c r="C1" s="227"/>
      <c r="D1" s="227"/>
      <c r="E1" s="227"/>
      <c r="F1" s="227"/>
    </row>
    <row r="2" spans="1:6">
      <c r="A2" s="227" t="s">
        <v>221</v>
      </c>
      <c r="B2" s="227"/>
      <c r="C2" s="227"/>
      <c r="D2" s="227"/>
      <c r="E2" s="227"/>
      <c r="F2" s="227"/>
    </row>
    <row r="3" spans="1:6">
      <c r="A3" s="227" t="str">
        <f>+'รายรับ '!A3:F3</f>
        <v>งวดที่ 4 เดือนกรกฎาคม  2556 - กันยายน  2556</v>
      </c>
      <c r="B3" s="227"/>
      <c r="C3" s="227"/>
      <c r="D3" s="227"/>
      <c r="E3" s="227"/>
      <c r="F3" s="227"/>
    </row>
    <row r="4" spans="1:6" ht="9.75" customHeight="1"/>
    <row r="5" spans="1:6">
      <c r="A5" s="231" t="s">
        <v>81</v>
      </c>
      <c r="B5" s="231"/>
      <c r="C5" s="231"/>
      <c r="D5" s="231"/>
      <c r="E5" s="231"/>
      <c r="F5" s="231"/>
    </row>
    <row r="6" spans="1:6">
      <c r="A6" s="228" t="s">
        <v>71</v>
      </c>
      <c r="B6" s="229"/>
      <c r="C6" s="230"/>
      <c r="D6" s="149" t="s">
        <v>68</v>
      </c>
      <c r="E6" s="149" t="s">
        <v>2</v>
      </c>
      <c r="F6" s="149" t="s">
        <v>3</v>
      </c>
    </row>
    <row r="7" spans="1:6">
      <c r="A7" s="150">
        <v>1</v>
      </c>
      <c r="B7" s="151" t="s">
        <v>279</v>
      </c>
      <c r="C7" s="151" t="s">
        <v>279</v>
      </c>
      <c r="D7" s="152">
        <v>490000</v>
      </c>
      <c r="E7" s="152">
        <v>456400</v>
      </c>
      <c r="F7" s="153">
        <f>+D7-E7</f>
        <v>33600</v>
      </c>
    </row>
    <row r="8" spans="1:6">
      <c r="A8" s="150">
        <v>2</v>
      </c>
      <c r="B8" s="151" t="s">
        <v>280</v>
      </c>
      <c r="C8" s="151" t="s">
        <v>280</v>
      </c>
      <c r="D8" s="152">
        <v>106500</v>
      </c>
      <c r="E8" s="152">
        <v>106500</v>
      </c>
      <c r="F8" s="153">
        <f>+D8-E8</f>
        <v>0</v>
      </c>
    </row>
    <row r="9" spans="1:6">
      <c r="A9" s="150">
        <v>3</v>
      </c>
      <c r="B9" s="151" t="s">
        <v>281</v>
      </c>
      <c r="C9" s="151" t="s">
        <v>281</v>
      </c>
      <c r="D9" s="152">
        <v>184000</v>
      </c>
      <c r="E9" s="152">
        <v>184000</v>
      </c>
      <c r="F9" s="153">
        <f t="shared" ref="F9:F32" si="0">+D9-E9</f>
        <v>0</v>
      </c>
    </row>
    <row r="10" spans="1:6">
      <c r="A10" s="150">
        <v>4</v>
      </c>
      <c r="B10" s="151" t="s">
        <v>282</v>
      </c>
      <c r="C10" s="151" t="s">
        <v>282</v>
      </c>
      <c r="D10" s="152">
        <v>153000</v>
      </c>
      <c r="E10" s="152">
        <v>152000</v>
      </c>
      <c r="F10" s="153">
        <f t="shared" si="0"/>
        <v>1000</v>
      </c>
    </row>
    <row r="11" spans="1:6">
      <c r="A11" s="150">
        <v>5</v>
      </c>
      <c r="B11" s="226" t="s">
        <v>297</v>
      </c>
      <c r="C11" s="225"/>
      <c r="D11" s="153">
        <v>652000</v>
      </c>
      <c r="E11" s="153">
        <v>652000</v>
      </c>
      <c r="F11" s="153">
        <f t="shared" si="0"/>
        <v>0</v>
      </c>
    </row>
    <row r="12" spans="1:6">
      <c r="A12" s="150"/>
      <c r="B12" s="226"/>
      <c r="C12" s="225"/>
      <c r="D12" s="153"/>
      <c r="E12" s="153"/>
      <c r="F12" s="153">
        <f t="shared" si="0"/>
        <v>0</v>
      </c>
    </row>
    <row r="13" spans="1:6">
      <c r="A13" s="150"/>
      <c r="B13" s="224"/>
      <c r="C13" s="225"/>
      <c r="D13" s="153"/>
      <c r="E13" s="153"/>
      <c r="F13" s="153">
        <f t="shared" si="0"/>
        <v>0</v>
      </c>
    </row>
    <row r="14" spans="1:6">
      <c r="A14" s="150"/>
      <c r="B14" s="224"/>
      <c r="C14" s="225"/>
      <c r="D14" s="153"/>
      <c r="E14" s="153"/>
      <c r="F14" s="153">
        <f t="shared" si="0"/>
        <v>0</v>
      </c>
    </row>
    <row r="15" spans="1:6">
      <c r="A15" s="150"/>
      <c r="B15" s="224"/>
      <c r="C15" s="225"/>
      <c r="D15" s="153"/>
      <c r="E15" s="153"/>
      <c r="F15" s="153">
        <f t="shared" si="0"/>
        <v>0</v>
      </c>
    </row>
    <row r="16" spans="1:6">
      <c r="A16" s="150"/>
      <c r="B16" s="224"/>
      <c r="C16" s="225"/>
      <c r="D16" s="153"/>
      <c r="E16" s="153"/>
      <c r="F16" s="153">
        <f t="shared" si="0"/>
        <v>0</v>
      </c>
    </row>
    <row r="17" spans="1:6">
      <c r="A17" s="150"/>
      <c r="B17" s="224"/>
      <c r="C17" s="225"/>
      <c r="D17" s="153"/>
      <c r="E17" s="153"/>
      <c r="F17" s="153">
        <f t="shared" si="0"/>
        <v>0</v>
      </c>
    </row>
    <row r="18" spans="1:6">
      <c r="A18" s="150"/>
      <c r="B18" s="224"/>
      <c r="C18" s="225"/>
      <c r="D18" s="153"/>
      <c r="E18" s="153"/>
      <c r="F18" s="153">
        <f t="shared" si="0"/>
        <v>0</v>
      </c>
    </row>
    <row r="19" spans="1:6">
      <c r="A19" s="150"/>
      <c r="B19" s="224"/>
      <c r="C19" s="225"/>
      <c r="D19" s="153"/>
      <c r="E19" s="153"/>
      <c r="F19" s="153">
        <f t="shared" si="0"/>
        <v>0</v>
      </c>
    </row>
    <row r="20" spans="1:6">
      <c r="A20" s="150"/>
      <c r="B20" s="224"/>
      <c r="C20" s="225"/>
      <c r="D20" s="153"/>
      <c r="E20" s="153"/>
      <c r="F20" s="153">
        <f t="shared" si="0"/>
        <v>0</v>
      </c>
    </row>
    <row r="21" spans="1:6">
      <c r="A21" s="150"/>
      <c r="B21" s="224"/>
      <c r="C21" s="225"/>
      <c r="D21" s="153"/>
      <c r="E21" s="153"/>
      <c r="F21" s="153">
        <f t="shared" si="0"/>
        <v>0</v>
      </c>
    </row>
    <row r="22" spans="1:6">
      <c r="A22" s="150"/>
      <c r="B22" s="224"/>
      <c r="C22" s="225"/>
      <c r="D22" s="153"/>
      <c r="E22" s="153"/>
      <c r="F22" s="153">
        <f t="shared" si="0"/>
        <v>0</v>
      </c>
    </row>
    <row r="23" spans="1:6">
      <c r="A23" s="150"/>
      <c r="B23" s="224"/>
      <c r="C23" s="225"/>
      <c r="D23" s="153"/>
      <c r="E23" s="153"/>
      <c r="F23" s="153">
        <f t="shared" si="0"/>
        <v>0</v>
      </c>
    </row>
    <row r="24" spans="1:6">
      <c r="A24" s="150"/>
      <c r="B24" s="224"/>
      <c r="C24" s="225"/>
      <c r="D24" s="153"/>
      <c r="E24" s="153"/>
      <c r="F24" s="153">
        <f t="shared" si="0"/>
        <v>0</v>
      </c>
    </row>
    <row r="25" spans="1:6">
      <c r="A25" s="150"/>
      <c r="B25" s="224"/>
      <c r="C25" s="225"/>
      <c r="D25" s="153"/>
      <c r="E25" s="153"/>
      <c r="F25" s="153">
        <f t="shared" si="0"/>
        <v>0</v>
      </c>
    </row>
    <row r="26" spans="1:6">
      <c r="A26" s="150"/>
      <c r="B26" s="224"/>
      <c r="C26" s="225"/>
      <c r="D26" s="153"/>
      <c r="E26" s="153"/>
      <c r="F26" s="153">
        <f t="shared" si="0"/>
        <v>0</v>
      </c>
    </row>
    <row r="27" spans="1:6">
      <c r="A27" s="150"/>
      <c r="B27" s="224"/>
      <c r="C27" s="225"/>
      <c r="D27" s="153"/>
      <c r="E27" s="153"/>
      <c r="F27" s="153">
        <f t="shared" si="0"/>
        <v>0</v>
      </c>
    </row>
    <row r="28" spans="1:6">
      <c r="A28" s="150"/>
      <c r="B28" s="224"/>
      <c r="C28" s="225"/>
      <c r="D28" s="153"/>
      <c r="E28" s="153"/>
      <c r="F28" s="153">
        <f t="shared" si="0"/>
        <v>0</v>
      </c>
    </row>
    <row r="29" spans="1:6">
      <c r="A29" s="150"/>
      <c r="B29" s="224"/>
      <c r="C29" s="225"/>
      <c r="D29" s="153"/>
      <c r="E29" s="153"/>
      <c r="F29" s="153">
        <f t="shared" si="0"/>
        <v>0</v>
      </c>
    </row>
    <row r="30" spans="1:6">
      <c r="A30" s="150"/>
      <c r="B30" s="224"/>
      <c r="C30" s="225"/>
      <c r="D30" s="153"/>
      <c r="E30" s="153"/>
      <c r="F30" s="153">
        <f t="shared" si="0"/>
        <v>0</v>
      </c>
    </row>
    <row r="31" spans="1:6">
      <c r="A31" s="150"/>
      <c r="B31" s="224"/>
      <c r="C31" s="225"/>
      <c r="D31" s="153"/>
      <c r="E31" s="153"/>
      <c r="F31" s="153">
        <f t="shared" si="0"/>
        <v>0</v>
      </c>
    </row>
    <row r="32" spans="1:6">
      <c r="A32" s="150"/>
      <c r="B32" s="224"/>
      <c r="C32" s="225"/>
      <c r="D32" s="153"/>
      <c r="E32" s="153"/>
      <c r="F32" s="153">
        <f t="shared" si="0"/>
        <v>0</v>
      </c>
    </row>
    <row r="33" spans="1:9">
      <c r="A33" s="150"/>
      <c r="B33" s="224"/>
      <c r="C33" s="225"/>
      <c r="D33" s="153"/>
      <c r="E33" s="153"/>
      <c r="F33" s="153"/>
    </row>
    <row r="34" spans="1:9">
      <c r="A34" s="154"/>
      <c r="B34" s="155"/>
      <c r="C34" s="156"/>
      <c r="D34" s="153"/>
      <c r="E34" s="153"/>
      <c r="F34" s="153"/>
    </row>
    <row r="35" spans="1:9" s="158" customFormat="1" ht="21.75">
      <c r="A35" s="232" t="s">
        <v>70</v>
      </c>
      <c r="B35" s="233"/>
      <c r="C35" s="234"/>
      <c r="D35" s="157">
        <f>SUM(D7:D34)</f>
        <v>1585500</v>
      </c>
      <c r="E35" s="157">
        <f>SUM(E7:E34)</f>
        <v>1550900</v>
      </c>
      <c r="F35" s="157">
        <f>SUM(F7:F34)</f>
        <v>34600</v>
      </c>
      <c r="I35" s="159"/>
    </row>
    <row r="39" spans="1:9">
      <c r="A39" s="231" t="s">
        <v>82</v>
      </c>
      <c r="B39" s="231"/>
      <c r="C39" s="231"/>
      <c r="D39" s="231"/>
      <c r="E39" s="231"/>
      <c r="F39" s="231"/>
    </row>
    <row r="40" spans="1:9">
      <c r="A40" s="228" t="s">
        <v>71</v>
      </c>
      <c r="B40" s="229"/>
      <c r="C40" s="230"/>
      <c r="D40" s="149" t="s">
        <v>83</v>
      </c>
      <c r="E40" s="149" t="s">
        <v>2</v>
      </c>
      <c r="F40" s="149" t="s">
        <v>3</v>
      </c>
    </row>
    <row r="41" spans="1:9">
      <c r="A41" s="160"/>
      <c r="B41" s="161"/>
      <c r="C41" s="156"/>
      <c r="D41" s="153"/>
      <c r="E41" s="153"/>
      <c r="F41" s="153"/>
    </row>
    <row r="42" spans="1:9">
      <c r="A42" s="150">
        <v>1</v>
      </c>
      <c r="B42" s="224" t="s">
        <v>85</v>
      </c>
      <c r="C42" s="225"/>
      <c r="D42" s="153">
        <v>4500</v>
      </c>
      <c r="E42" s="153">
        <v>4500</v>
      </c>
      <c r="F42" s="153">
        <v>0</v>
      </c>
    </row>
    <row r="43" spans="1:9">
      <c r="A43" s="150">
        <v>2</v>
      </c>
      <c r="B43" s="224" t="s">
        <v>84</v>
      </c>
      <c r="C43" s="225"/>
      <c r="D43" s="153">
        <v>4500</v>
      </c>
      <c r="E43" s="153">
        <v>4500</v>
      </c>
      <c r="F43" s="153">
        <v>0</v>
      </c>
    </row>
    <row r="44" spans="1:9">
      <c r="A44" s="150">
        <v>3</v>
      </c>
      <c r="B44" s="224" t="s">
        <v>283</v>
      </c>
      <c r="C44" s="225"/>
      <c r="D44" s="153">
        <v>6000</v>
      </c>
      <c r="E44" s="153">
        <v>6000</v>
      </c>
      <c r="F44" s="153">
        <f>+D44-E44</f>
        <v>0</v>
      </c>
    </row>
    <row r="45" spans="1:9">
      <c r="A45" s="150">
        <v>4</v>
      </c>
      <c r="B45" s="224" t="s">
        <v>284</v>
      </c>
      <c r="C45" s="225"/>
      <c r="D45" s="153">
        <v>6000</v>
      </c>
      <c r="E45" s="153">
        <v>6000</v>
      </c>
      <c r="F45" s="153">
        <f>+D45-E45</f>
        <v>0</v>
      </c>
    </row>
    <row r="46" spans="1:9">
      <c r="A46" s="150">
        <v>5</v>
      </c>
      <c r="B46" s="226" t="s">
        <v>285</v>
      </c>
      <c r="C46" s="225"/>
      <c r="D46" s="153">
        <v>4660</v>
      </c>
      <c r="E46" s="153">
        <v>4660</v>
      </c>
      <c r="F46" s="153">
        <f>+D46-E46</f>
        <v>0</v>
      </c>
    </row>
    <row r="47" spans="1:9">
      <c r="A47" s="150">
        <v>6</v>
      </c>
      <c r="B47" s="224" t="s">
        <v>286</v>
      </c>
      <c r="C47" s="225"/>
      <c r="D47" s="153">
        <v>280000</v>
      </c>
      <c r="E47" s="153">
        <v>230400</v>
      </c>
      <c r="F47" s="153">
        <f>+D47-E47</f>
        <v>49600</v>
      </c>
    </row>
    <row r="48" spans="1:9">
      <c r="A48" s="150"/>
      <c r="B48" s="226"/>
      <c r="C48" s="225"/>
      <c r="D48" s="153"/>
      <c r="E48" s="153"/>
      <c r="F48" s="153">
        <v>0</v>
      </c>
    </row>
    <row r="49" spans="1:6">
      <c r="A49" s="154"/>
      <c r="B49" s="155"/>
      <c r="C49" s="156"/>
      <c r="D49" s="153"/>
      <c r="E49" s="153"/>
      <c r="F49" s="153"/>
    </row>
    <row r="50" spans="1:6">
      <c r="A50" s="232" t="s">
        <v>70</v>
      </c>
      <c r="B50" s="233"/>
      <c r="C50" s="234"/>
      <c r="D50" s="162">
        <f>SUM(D41:D49)</f>
        <v>305660</v>
      </c>
      <c r="E50" s="162">
        <f>SUM(E41:E49)</f>
        <v>256060</v>
      </c>
      <c r="F50" s="162">
        <f>SUM(F41:F49)</f>
        <v>49600</v>
      </c>
    </row>
    <row r="51" spans="1:6">
      <c r="A51" s="155"/>
      <c r="B51" s="155"/>
      <c r="C51" s="163"/>
      <c r="D51" s="164"/>
      <c r="E51" s="164"/>
      <c r="F51" s="165"/>
    </row>
    <row r="52" spans="1:6">
      <c r="A52" s="155"/>
      <c r="B52" s="155"/>
      <c r="C52" s="155"/>
      <c r="D52" s="164"/>
      <c r="E52" s="164"/>
      <c r="F52" s="165"/>
    </row>
    <row r="53" spans="1:6">
      <c r="A53" s="231" t="s">
        <v>106</v>
      </c>
      <c r="B53" s="231"/>
      <c r="C53" s="231"/>
      <c r="D53" s="231"/>
      <c r="E53" s="231"/>
      <c r="F53" s="231"/>
    </row>
    <row r="54" spans="1:6">
      <c r="A54" s="228" t="s">
        <v>71</v>
      </c>
      <c r="B54" s="229"/>
      <c r="C54" s="230"/>
      <c r="D54" s="149" t="s">
        <v>83</v>
      </c>
      <c r="E54" s="149" t="s">
        <v>2</v>
      </c>
      <c r="F54" s="149" t="s">
        <v>3</v>
      </c>
    </row>
    <row r="55" spans="1:6">
      <c r="A55" s="160"/>
      <c r="B55" s="161"/>
      <c r="C55" s="156"/>
      <c r="D55" s="153"/>
      <c r="E55" s="153"/>
      <c r="F55" s="153"/>
    </row>
    <row r="56" spans="1:6">
      <c r="A56" s="150">
        <v>1</v>
      </c>
      <c r="B56" s="224" t="s">
        <v>107</v>
      </c>
      <c r="C56" s="225"/>
      <c r="D56" s="153">
        <v>980000</v>
      </c>
      <c r="E56" s="153">
        <f>744177+163003</f>
        <v>907180</v>
      </c>
      <c r="F56" s="166">
        <f>D56-E56</f>
        <v>72820</v>
      </c>
    </row>
    <row r="57" spans="1:6">
      <c r="A57" s="150">
        <v>2</v>
      </c>
      <c r="B57" s="224" t="s">
        <v>287</v>
      </c>
      <c r="C57" s="225"/>
      <c r="D57" s="153">
        <v>6300</v>
      </c>
      <c r="E57" s="153">
        <v>4200</v>
      </c>
      <c r="F57" s="166">
        <f>D57-E57</f>
        <v>2100</v>
      </c>
    </row>
    <row r="58" spans="1:6">
      <c r="A58" s="150"/>
      <c r="B58" s="224"/>
      <c r="C58" s="225"/>
      <c r="D58" s="153"/>
      <c r="E58" s="153"/>
      <c r="F58" s="153"/>
    </row>
    <row r="59" spans="1:6">
      <c r="A59" s="150"/>
      <c r="B59" s="224"/>
      <c r="C59" s="225"/>
      <c r="D59" s="153"/>
      <c r="E59" s="153"/>
      <c r="F59" s="153"/>
    </row>
    <row r="60" spans="1:6">
      <c r="A60" s="154"/>
      <c r="B60" s="155"/>
      <c r="C60" s="156"/>
      <c r="D60" s="153"/>
      <c r="E60" s="153"/>
      <c r="F60" s="153"/>
    </row>
    <row r="61" spans="1:6">
      <c r="A61" s="232" t="s">
        <v>70</v>
      </c>
      <c r="B61" s="233"/>
      <c r="C61" s="234"/>
      <c r="D61" s="162">
        <f>SUM(D55:D60)</f>
        <v>986300</v>
      </c>
      <c r="E61" s="162">
        <f>SUM(E55:E60)</f>
        <v>911380</v>
      </c>
      <c r="F61" s="162">
        <f>SUM(F55:F60)</f>
        <v>74920</v>
      </c>
    </row>
    <row r="62" spans="1:6">
      <c r="A62" s="155"/>
      <c r="B62" s="155"/>
      <c r="C62" s="155"/>
      <c r="D62" s="164"/>
      <c r="E62" s="164"/>
      <c r="F62" s="164"/>
    </row>
    <row r="63" spans="1:6">
      <c r="A63" s="231" t="s">
        <v>105</v>
      </c>
      <c r="B63" s="231"/>
      <c r="C63" s="231"/>
      <c r="D63" s="231"/>
      <c r="E63" s="231"/>
      <c r="F63" s="231"/>
    </row>
    <row r="64" spans="1:6">
      <c r="A64" s="228" t="s">
        <v>71</v>
      </c>
      <c r="B64" s="229"/>
      <c r="C64" s="230"/>
      <c r="D64" s="149" t="s">
        <v>83</v>
      </c>
      <c r="E64" s="149" t="s">
        <v>2</v>
      </c>
      <c r="F64" s="149" t="s">
        <v>3</v>
      </c>
    </row>
    <row r="65" spans="1:6">
      <c r="A65" s="160"/>
      <c r="B65" s="161"/>
      <c r="C65" s="156"/>
      <c r="D65" s="153"/>
      <c r="E65" s="153"/>
      <c r="F65" s="153"/>
    </row>
    <row r="66" spans="1:6">
      <c r="A66" s="150">
        <v>1</v>
      </c>
      <c r="B66" s="224" t="s">
        <v>288</v>
      </c>
      <c r="C66" s="225"/>
      <c r="D66" s="153">
        <v>7670</v>
      </c>
      <c r="E66" s="153">
        <v>7670</v>
      </c>
      <c r="F66" s="166">
        <f>D66-E66</f>
        <v>0</v>
      </c>
    </row>
    <row r="67" spans="1:6">
      <c r="A67" s="150">
        <v>2</v>
      </c>
      <c r="B67" s="224" t="s">
        <v>289</v>
      </c>
      <c r="C67" s="225"/>
      <c r="D67" s="153">
        <v>800</v>
      </c>
      <c r="E67" s="153">
        <v>800</v>
      </c>
      <c r="F67" s="166">
        <f t="shared" ref="F67:F68" si="1">D67-E67</f>
        <v>0</v>
      </c>
    </row>
    <row r="68" spans="1:6">
      <c r="A68" s="150">
        <v>3</v>
      </c>
      <c r="B68" s="224" t="s">
        <v>290</v>
      </c>
      <c r="C68" s="225"/>
      <c r="D68" s="153">
        <v>1500</v>
      </c>
      <c r="E68" s="153">
        <v>1500</v>
      </c>
      <c r="F68" s="166">
        <f t="shared" si="1"/>
        <v>0</v>
      </c>
    </row>
    <row r="69" spans="1:6">
      <c r="A69" s="154"/>
      <c r="B69" s="155"/>
      <c r="C69" s="156"/>
      <c r="D69" s="153"/>
      <c r="E69" s="153"/>
      <c r="F69" s="153"/>
    </row>
    <row r="70" spans="1:6">
      <c r="A70" s="232" t="s">
        <v>70</v>
      </c>
      <c r="B70" s="233"/>
      <c r="C70" s="234"/>
      <c r="D70" s="162">
        <f>SUM(D65:D69)</f>
        <v>9970</v>
      </c>
      <c r="E70" s="162">
        <f>SUM(E65:E69)</f>
        <v>9970</v>
      </c>
      <c r="F70" s="162">
        <f>SUM(F65:F69)</f>
        <v>0</v>
      </c>
    </row>
    <row r="71" spans="1:6">
      <c r="A71" s="163"/>
      <c r="B71" s="163"/>
      <c r="C71" s="163"/>
      <c r="D71" s="168"/>
      <c r="E71" s="168"/>
      <c r="F71" s="169"/>
    </row>
    <row r="72" spans="1:6">
      <c r="A72" s="235"/>
      <c r="B72" s="235"/>
      <c r="C72" s="235"/>
      <c r="D72" s="235"/>
      <c r="E72" s="235"/>
      <c r="F72" s="235"/>
    </row>
    <row r="73" spans="1:6">
      <c r="A73" s="191"/>
      <c r="B73" s="191"/>
      <c r="C73" s="191"/>
      <c r="D73" s="191"/>
      <c r="E73" s="191"/>
      <c r="F73" s="191"/>
    </row>
    <row r="74" spans="1:6">
      <c r="A74" s="191"/>
      <c r="B74" s="191"/>
      <c r="C74" s="191"/>
      <c r="D74" s="191"/>
      <c r="E74" s="191"/>
      <c r="F74" s="191"/>
    </row>
    <row r="75" spans="1:6">
      <c r="A75" s="191"/>
      <c r="B75" s="191"/>
      <c r="C75" s="191"/>
      <c r="D75" s="191"/>
      <c r="E75" s="191"/>
      <c r="F75" s="191"/>
    </row>
    <row r="76" spans="1:6">
      <c r="A76" s="231" t="s">
        <v>298</v>
      </c>
      <c r="B76" s="231"/>
      <c r="C76" s="231"/>
      <c r="D76" s="231"/>
      <c r="E76" s="231"/>
      <c r="F76" s="231"/>
    </row>
    <row r="77" spans="1:6">
      <c r="A77" s="228" t="s">
        <v>71</v>
      </c>
      <c r="B77" s="229"/>
      <c r="C77" s="230"/>
      <c r="D77" s="149" t="s">
        <v>68</v>
      </c>
      <c r="E77" s="149" t="s">
        <v>2</v>
      </c>
      <c r="F77" s="149" t="s">
        <v>3</v>
      </c>
    </row>
    <row r="78" spans="1:6">
      <c r="A78" s="167"/>
      <c r="B78" s="170"/>
      <c r="C78" s="156"/>
      <c r="D78" s="153"/>
      <c r="E78" s="153"/>
      <c r="F78" s="153"/>
    </row>
    <row r="79" spans="1:6" ht="24">
      <c r="A79" s="167">
        <v>1</v>
      </c>
      <c r="B79" s="16" t="s">
        <v>213</v>
      </c>
      <c r="C79" s="15"/>
      <c r="D79" s="171">
        <v>5672800</v>
      </c>
      <c r="E79" s="171">
        <v>5672800</v>
      </c>
      <c r="F79" s="172">
        <f>D79-E79</f>
        <v>0</v>
      </c>
    </row>
    <row r="80" spans="1:6" ht="24">
      <c r="A80" s="167">
        <v>2</v>
      </c>
      <c r="B80" s="16" t="s">
        <v>214</v>
      </c>
      <c r="C80" s="15"/>
      <c r="D80" s="171">
        <v>622500</v>
      </c>
      <c r="E80" s="171">
        <v>622500</v>
      </c>
      <c r="F80" s="172">
        <f t="shared" ref="F80:F91" si="2">D80-E80</f>
        <v>0</v>
      </c>
    </row>
    <row r="81" spans="1:6" ht="24">
      <c r="A81" s="167">
        <v>3</v>
      </c>
      <c r="B81" s="16" t="s">
        <v>215</v>
      </c>
      <c r="C81" s="15"/>
      <c r="D81" s="171">
        <v>345960</v>
      </c>
      <c r="E81" s="171">
        <v>345960</v>
      </c>
      <c r="F81" s="172">
        <f t="shared" si="2"/>
        <v>0</v>
      </c>
    </row>
    <row r="82" spans="1:6" ht="24">
      <c r="A82" s="167">
        <v>4</v>
      </c>
      <c r="B82" s="16" t="s">
        <v>216</v>
      </c>
      <c r="C82" s="15"/>
      <c r="D82" s="171">
        <v>194040</v>
      </c>
      <c r="E82" s="171">
        <v>194040</v>
      </c>
      <c r="F82" s="172">
        <f t="shared" si="2"/>
        <v>0</v>
      </c>
    </row>
    <row r="83" spans="1:6" ht="24">
      <c r="A83" s="167">
        <v>5</v>
      </c>
      <c r="B83" s="16" t="s">
        <v>217</v>
      </c>
      <c r="C83" s="15"/>
      <c r="D83" s="171">
        <v>489750</v>
      </c>
      <c r="E83" s="171">
        <v>489750</v>
      </c>
      <c r="F83" s="172">
        <f t="shared" si="2"/>
        <v>0</v>
      </c>
    </row>
    <row r="84" spans="1:6" ht="24">
      <c r="A84" s="167">
        <v>6</v>
      </c>
      <c r="B84" s="16" t="s">
        <v>218</v>
      </c>
      <c r="C84" s="15"/>
      <c r="D84" s="171">
        <v>230250</v>
      </c>
      <c r="E84" s="171">
        <v>230250</v>
      </c>
      <c r="F84" s="172">
        <f t="shared" si="2"/>
        <v>0</v>
      </c>
    </row>
    <row r="85" spans="1:6" ht="24">
      <c r="A85" s="167">
        <v>7</v>
      </c>
      <c r="B85" s="16" t="s">
        <v>219</v>
      </c>
      <c r="C85" s="15"/>
      <c r="D85" s="171">
        <v>22050</v>
      </c>
      <c r="E85" s="171">
        <v>22050</v>
      </c>
      <c r="F85" s="172">
        <f t="shared" si="2"/>
        <v>0</v>
      </c>
    </row>
    <row r="86" spans="1:6" ht="24">
      <c r="A86" s="167">
        <v>8</v>
      </c>
      <c r="B86" s="16" t="s">
        <v>220</v>
      </c>
      <c r="C86" s="15"/>
      <c r="D86" s="171">
        <v>192251.75</v>
      </c>
      <c r="E86" s="171">
        <v>192251.75</v>
      </c>
      <c r="F86" s="172">
        <f t="shared" si="2"/>
        <v>0</v>
      </c>
    </row>
    <row r="87" spans="1:6" ht="24">
      <c r="A87" s="150">
        <v>9</v>
      </c>
      <c r="B87" s="175" t="s">
        <v>296</v>
      </c>
      <c r="C87" s="175"/>
      <c r="D87" s="171">
        <v>10000</v>
      </c>
      <c r="E87" s="171">
        <v>9995</v>
      </c>
      <c r="F87" s="172">
        <f t="shared" si="2"/>
        <v>5</v>
      </c>
    </row>
    <row r="88" spans="1:6" ht="24">
      <c r="A88" s="150">
        <v>10</v>
      </c>
      <c r="B88" s="175" t="s">
        <v>231</v>
      </c>
      <c r="C88" s="175"/>
      <c r="D88" s="171">
        <v>103800</v>
      </c>
      <c r="E88" s="171">
        <v>103800</v>
      </c>
      <c r="F88" s="172">
        <f t="shared" si="2"/>
        <v>0</v>
      </c>
    </row>
    <row r="89" spans="1:6" ht="24">
      <c r="A89" s="150">
        <v>11</v>
      </c>
      <c r="B89" s="175" t="s">
        <v>302</v>
      </c>
      <c r="C89" s="175"/>
      <c r="D89" s="171">
        <v>105000</v>
      </c>
      <c r="E89" s="171">
        <v>105000</v>
      </c>
      <c r="F89" s="172">
        <f t="shared" si="2"/>
        <v>0</v>
      </c>
    </row>
    <row r="90" spans="1:6" ht="24">
      <c r="A90" s="150">
        <v>12</v>
      </c>
      <c r="B90" s="175" t="s">
        <v>303</v>
      </c>
      <c r="C90" s="175"/>
      <c r="D90" s="171">
        <v>394000</v>
      </c>
      <c r="E90" s="171">
        <v>394000</v>
      </c>
      <c r="F90" s="172">
        <f t="shared" si="2"/>
        <v>0</v>
      </c>
    </row>
    <row r="91" spans="1:6" ht="24">
      <c r="A91" s="167">
        <v>13</v>
      </c>
      <c r="B91" s="18" t="s">
        <v>323</v>
      </c>
      <c r="C91" s="15"/>
      <c r="D91" s="171">
        <v>75000</v>
      </c>
      <c r="E91" s="171">
        <v>75000</v>
      </c>
      <c r="F91" s="172">
        <f t="shared" si="2"/>
        <v>0</v>
      </c>
    </row>
    <row r="92" spans="1:6" ht="24" thickBot="1">
      <c r="A92" s="236" t="s">
        <v>70</v>
      </c>
      <c r="B92" s="237"/>
      <c r="C92" s="238"/>
      <c r="D92" s="176">
        <f>SUM(D78:D91)</f>
        <v>8457401.75</v>
      </c>
      <c r="E92" s="176">
        <f>SUM(E78:E91)</f>
        <v>8457396.75</v>
      </c>
      <c r="F92" s="177">
        <f>SUM(F78:F91)</f>
        <v>5</v>
      </c>
    </row>
    <row r="93" spans="1:6" ht="24" thickTop="1"/>
  </sheetData>
  <mergeCells count="56">
    <mergeCell ref="A92:C92"/>
    <mergeCell ref="B20:C20"/>
    <mergeCell ref="B21:C21"/>
    <mergeCell ref="B22:C22"/>
    <mergeCell ref="A77:C77"/>
    <mergeCell ref="B33:C33"/>
    <mergeCell ref="B32:C32"/>
    <mergeCell ref="B24:C24"/>
    <mergeCell ref="B25:C25"/>
    <mergeCell ref="B26:C26"/>
    <mergeCell ref="B27:C27"/>
    <mergeCell ref="B28:C28"/>
    <mergeCell ref="B29:C29"/>
    <mergeCell ref="B30:C30"/>
    <mergeCell ref="B31:C31"/>
    <mergeCell ref="A50:C50"/>
    <mergeCell ref="B48:C48"/>
    <mergeCell ref="B42:C42"/>
    <mergeCell ref="A35:C35"/>
    <mergeCell ref="A70:C70"/>
    <mergeCell ref="A72:F72"/>
    <mergeCell ref="B44:C44"/>
    <mergeCell ref="B45:C45"/>
    <mergeCell ref="B47:C47"/>
    <mergeCell ref="B46:C46"/>
    <mergeCell ref="A39:F39"/>
    <mergeCell ref="A40:C40"/>
    <mergeCell ref="B43:C43"/>
    <mergeCell ref="A76:F76"/>
    <mergeCell ref="A53:F53"/>
    <mergeCell ref="A54:C54"/>
    <mergeCell ref="B56:C56"/>
    <mergeCell ref="B57:C57"/>
    <mergeCell ref="B58:C58"/>
    <mergeCell ref="B68:C68"/>
    <mergeCell ref="A61:C61"/>
    <mergeCell ref="A63:F63"/>
    <mergeCell ref="A64:C64"/>
    <mergeCell ref="B66:C66"/>
    <mergeCell ref="B67:C67"/>
    <mergeCell ref="B59:C59"/>
    <mergeCell ref="A1:F1"/>
    <mergeCell ref="A2:F2"/>
    <mergeCell ref="A3:F3"/>
    <mergeCell ref="A6:C6"/>
    <mergeCell ref="A5:F5"/>
    <mergeCell ref="B23:C23"/>
    <mergeCell ref="B16:C16"/>
    <mergeCell ref="B14:C14"/>
    <mergeCell ref="B11:C11"/>
    <mergeCell ref="B12:C12"/>
    <mergeCell ref="B15:C15"/>
    <mergeCell ref="B13:C13"/>
    <mergeCell ref="B17:C17"/>
    <mergeCell ref="B18:C18"/>
    <mergeCell ref="B19:C19"/>
  </mergeCells>
  <phoneticPr fontId="15" type="noConversion"/>
  <pageMargins left="0.76" right="0.39" top="0.5" bottom="0.46" header="0.28000000000000003" footer="0.33"/>
  <pageSetup paperSize="9" scale="95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4" sqref="B14"/>
    </sheetView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รายรับ </vt:lpstr>
      <vt:lpstr>จ่าย</vt:lpstr>
      <vt:lpstr>นอก </vt:lpstr>
      <vt:lpstr>Sheet1</vt:lpstr>
      <vt:lpstr>จ่าย!Print_Titles</vt:lpstr>
      <vt:lpstr>'รายรับ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bean</dc:creator>
  <cp:lastModifiedBy>wincom</cp:lastModifiedBy>
  <cp:lastPrinted>2013-12-13T07:56:09Z</cp:lastPrinted>
  <dcterms:created xsi:type="dcterms:W3CDTF">2002-08-14T04:47:21Z</dcterms:created>
  <dcterms:modified xsi:type="dcterms:W3CDTF">2013-12-13T08:14:53Z</dcterms:modified>
</cp:coreProperties>
</file>