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S63" i="53"/>
  <c r="T63"/>
  <c r="B61"/>
  <c r="B63"/>
  <c r="I36" i="40"/>
  <c r="I14" l="1"/>
  <c r="D45" i="54"/>
  <c r="D44"/>
  <c r="D18"/>
  <c r="D46"/>
  <c r="D51"/>
  <c r="D50"/>
  <c r="D48"/>
  <c r="D47"/>
  <c r="D31"/>
  <c r="D27"/>
  <c r="D24"/>
  <c r="D14"/>
  <c r="D16"/>
  <c r="D54"/>
  <c r="D11"/>
  <c r="D10"/>
  <c r="I42" i="52"/>
  <c r="I35"/>
  <c r="G15"/>
  <c r="G14"/>
  <c r="G13"/>
  <c r="G12"/>
  <c r="C30" i="35"/>
  <c r="C21"/>
  <c r="C64"/>
  <c r="H64"/>
  <c r="H30"/>
  <c r="H21"/>
  <c r="E19" i="36"/>
  <c r="E18"/>
  <c r="E23"/>
  <c r="E22"/>
  <c r="E21"/>
  <c r="E20"/>
  <c r="C15" i="35"/>
  <c r="C13"/>
  <c r="H13"/>
  <c r="C57"/>
  <c r="D12" i="36"/>
  <c r="C72" i="35"/>
  <c r="C70"/>
  <c r="C69"/>
  <c r="C65"/>
  <c r="C60"/>
  <c r="C59"/>
  <c r="C58"/>
  <c r="C56"/>
  <c r="C55"/>
  <c r="C54"/>
  <c r="C53"/>
  <c r="C52"/>
  <c r="C51"/>
  <c r="H55"/>
  <c r="H56"/>
  <c r="C32"/>
  <c r="C31"/>
  <c r="C27"/>
  <c r="C24"/>
  <c r="C23"/>
  <c r="C17"/>
  <c r="C16"/>
  <c r="C14"/>
  <c r="C12"/>
  <c r="H31"/>
  <c r="A16" i="36"/>
  <c r="H17" i="35"/>
  <c r="H12"/>
  <c r="F25" i="36"/>
  <c r="B99" i="53" l="1"/>
  <c r="B67"/>
  <c r="D64" i="54" l="1"/>
  <c r="D63"/>
  <c r="D65"/>
  <c r="D62"/>
  <c r="D61"/>
  <c r="D30"/>
  <c r="D21"/>
  <c r="D9"/>
  <c r="C62" i="35"/>
  <c r="E24" i="36" l="1"/>
  <c r="D23"/>
  <c r="D22"/>
  <c r="D24"/>
  <c r="D21"/>
  <c r="D20"/>
  <c r="C61" i="53"/>
  <c r="C63"/>
  <c r="F55" i="54"/>
  <c r="F56"/>
  <c r="F54"/>
  <c r="F53"/>
  <c r="F44"/>
  <c r="C29" i="35"/>
  <c r="I30" i="52" l="1"/>
  <c r="D59" i="54"/>
  <c r="C28" i="35"/>
  <c r="Z6" i="53"/>
  <c r="I31" i="40"/>
  <c r="D43" i="54" l="1"/>
  <c r="D18" i="36"/>
  <c r="D60" i="54"/>
  <c r="D53"/>
  <c r="F21" i="36"/>
  <c r="F20"/>
  <c r="F24"/>
  <c r="F23"/>
  <c r="F22"/>
  <c r="D19"/>
  <c r="D56" i="54" l="1"/>
  <c r="C18" i="35"/>
  <c r="D30" i="55"/>
  <c r="E30"/>
  <c r="C30"/>
  <c r="E8"/>
  <c r="C67" i="35"/>
  <c r="I31" i="52"/>
  <c r="G16"/>
  <c r="C68" i="35"/>
  <c r="C25"/>
  <c r="G42" i="52" l="1"/>
  <c r="L11"/>
  <c r="A87" i="53"/>
  <c r="F71" i="54" l="1"/>
  <c r="Z59" i="53" l="1"/>
  <c r="F70" i="54"/>
  <c r="E31" i="36" l="1"/>
  <c r="F67" i="54" l="1"/>
  <c r="F69"/>
  <c r="Z60" i="53"/>
  <c r="Z61"/>
  <c r="Z62"/>
  <c r="Z63"/>
  <c r="Z64"/>
  <c r="D58" i="54" l="1"/>
  <c r="D31" i="36"/>
  <c r="F68" i="54" l="1"/>
  <c r="Z28" i="53"/>
  <c r="Z19"/>
  <c r="Z49"/>
  <c r="Z50"/>
  <c r="F19" i="36" l="1"/>
  <c r="F18"/>
  <c r="F31" l="1"/>
  <c r="E36" i="40"/>
  <c r="F66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D55"/>
  <c r="C55"/>
  <c r="F51"/>
  <c r="F50"/>
  <c r="F49"/>
  <c r="F48"/>
  <c r="F47"/>
  <c r="F46"/>
  <c r="F45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29" i="54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2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2" i="54"/>
  <c r="F72" s="1"/>
  <c r="B148" i="53"/>
  <c r="Z82"/>
  <c r="Z66"/>
  <c r="Q147"/>
  <c r="L20" i="40"/>
  <c r="L166"/>
  <c r="L128"/>
  <c r="I126"/>
  <c r="L91"/>
  <c r="I7"/>
  <c r="L5" s="1"/>
  <c r="C76" i="35"/>
  <c r="F9" i="36"/>
  <c r="E12"/>
  <c r="H65" i="35" s="1"/>
  <c r="H76" s="1"/>
  <c r="H23"/>
  <c r="C12" i="36"/>
  <c r="F8"/>
  <c r="F7"/>
  <c r="F6"/>
  <c r="F5"/>
  <c r="F4"/>
  <c r="L80" i="35"/>
  <c r="A63"/>
  <c r="H63"/>
  <c r="C63"/>
  <c r="J44"/>
  <c r="J43"/>
  <c r="J42"/>
  <c r="L41"/>
  <c r="J41"/>
  <c r="J40"/>
  <c r="J39"/>
  <c r="J26"/>
  <c r="C45"/>
  <c r="A19"/>
  <c r="C19"/>
  <c r="Z38" i="53" l="1"/>
  <c r="Z148" s="1"/>
  <c r="L9" i="40"/>
  <c r="H45" i="35"/>
  <c r="C77"/>
  <c r="C46"/>
  <c r="H77"/>
  <c r="F12" i="36"/>
  <c r="H19" i="35"/>
  <c r="H46" l="1"/>
  <c r="L17" i="40"/>
  <c r="C78" i="35"/>
  <c r="C81"/>
  <c r="H78" l="1"/>
  <c r="H81"/>
  <c r="M81" l="1"/>
  <c r="K8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<sst xmlns="http://schemas.openxmlformats.org/spreadsheetml/2006/main" count="1068" uniqueCount="445">
  <si>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</si>
  <si>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</si>
  <si>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</si>
  <si>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</si>
  <si>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</si>
  <si>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</si>
  <si>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</si>
  <si>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</si>
  <si>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</si>
  <si>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</si>
  <si>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</si>
  <si>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</si>
  <si>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</si>
  <si>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</si>
  <si>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</si>
  <si>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</si>
  <si>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</si>
  <si>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</si>
  <si>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</si>
  <si>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</si>
  <si>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</si>
  <si>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</si>
  <si>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</si>
  <si>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</si>
  <si>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</si>
  <si>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</si>
  <si>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</si>
  <si>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</si>
  <si>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</si>
  <si>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</si>
  <si>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</si>
  <si>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</si>
  <si>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</si>
  <si>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</si>
  <si>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</si>
  <si>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</si>
  <si>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</si>
  <si>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</si>
  <si>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</si>
  <si>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</si>
  <si>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</si>
  <si>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</si>
  <si>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</si>
  <si>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</si>
  <si>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</si>
  <si>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</si>
  <si>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</si>
  <si>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</si>
  <si>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</si>
  <si>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</si>
  <si>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</si>
  <si>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</si>
  <si>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</si>
  <si>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</si>
  <si>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</si>
  <si>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</si>
  <si>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</si>
  <si>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</si>
  <si>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</si>
  <si>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</si>
  <si>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</si>
  <si>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</si>
  <si>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</si>
  <si>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</si>
  <si>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</si>
  <si>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</si>
  <si>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</si>
  <si>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</si>
  <si>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</si>
  <si>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</si>
  <si>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</si>
  <si>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</si>
  <si>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</si>
  <si>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</si>
  <si>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</si>
  <si>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</si>
  <si>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</si>
  <si>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</si>
  <si>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</si>
  <si>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</si>
  <si>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</si>
  <si>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</si>
  <si>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</si>
  <si>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</si>
  <si>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</si>
  <si>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</si>
  <si>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</si>
  <si>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</si>
  <si>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</si>
  <si>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</si>
  <si>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</si>
  <si>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</si>
  <si>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</si>
  <si>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</si>
  <si>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</si>
  <si>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</si>
  <si>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</si>
  <si>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</si>
  <si>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</si>
  <si>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</si>
  <si>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</si>
  <si>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</si>
  <si>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</si>
  <si>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</si>
  <si>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</si>
  <si>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</si>
  <si>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</si>
  <si>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</si>
  <si>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</si>
  <si>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</si>
  <si>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</si>
  <si>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</si>
  <si>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</si>
  <si>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</si>
  <si>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</si>
  <si>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</si>
  <si>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</si>
  <si>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</si>
  <si>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</si>
  <si>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</si>
  <si>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</si>
  <si>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</si>
  <si>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</si>
  <si>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</si>
  <si>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</si>
  <si>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</si>
  <si>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</si>
  <si>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</si>
  <si>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</si>
  <si>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</si>
  <si>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</si>
  <si>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</si>
  <si>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</si>
  <si>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</si>
  <si>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</si>
  <si>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</si>
  <si>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</si>
  <si>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</si>
  <si>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</si>
  <si>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</si>
  <si>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</si>
  <si>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</si>
  <si>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</si>
  <si>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</si>
  <si>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</si>
  <si>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</si>
  <si>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</si>
  <si>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</si>
  <si>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</si>
  <si>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</si>
  <si>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</si>
  <si>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</si>
  <si>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</si>
  <si>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</si>
  <si>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</si>
  <si>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</si>
  <si>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</si>
  <si>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</si>
  <si>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</si>
  <si>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</si>
  <si>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</si>
  <si>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</si>
  <si>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</si>
  <si>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</si>
  <si>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</si>
  <si>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</si>
  <si>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</si>
  <si>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</si>
  <si>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</si>
  <si>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</si>
  <si>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</si>
  <si>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</si>
  <si>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</si>
  <si>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</si>
  <si>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</si>
  <si>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</si>
  <si>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</si>
  <si>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</si>
  <si>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</si>
  <si>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</si>
  <si>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</si>
  <si>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</si>
  <si>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</si>
  <si>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</si>
  <si>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</si>
  <si>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</si>
  <si>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</si>
  <si>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</si>
  <si>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</si>
  <si>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</si>
  <si>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</si>
  <si>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</si>
  <si>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</si>
  <si>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</si>
  <si>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</si>
  <si>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</si>
  <si>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</si>
  <si>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</si>
  <si>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</si>
  <si>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</si>
  <si>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</si>
  <si>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</si>
  <si>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</si>
  <si>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</si>
  <si>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</si>
  <si>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</si>
  <si>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</si>
  <si>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</si>
  <si>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</si>
  <si>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</si>
  <si>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</si>
  <si>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</si>
  <si>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</si>
  <si>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</si>
  <si>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</si>
  <si>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</si>
  <si>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</si>
  <si>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</si>
  <si>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</si>
  <si>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</si>
  <si>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</si>
  <si>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</si>
  <si>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</si>
  <si>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</si>
  <si>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</si>
  <si>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</si>
  <si>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</si>
  <si>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</si>
  <si>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</si>
  <si>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</si>
  <si>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</si>
  <si>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</si>
  <si>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</si>
  <si>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</si>
  <si>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</si>
  <si>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</si>
  <si>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</si>
  <si>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</si>
  <si>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</si>
  <si>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</si>
  <si>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</si>
  <si>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</si>
  <si>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</si>
  <si>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</si>
  <si>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</si>
  <si>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</si>
  <si>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</si>
  <si>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</si>
  <si>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</si>
  <si>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</si>
  <si>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</si>
  <si>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</si>
  <si>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</si>
  <si>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</si>
  <si>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</si>
  <si>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</si>
  <si>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</si>
  <si>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</si>
  <si>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</si>
  <si>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</si>
  <si>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</si>
  <si>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</si>
  <si>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</si>
  <si>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</si>
  <si>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</si>
  <si>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</si>
  <si>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</si>
  <si>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</si>
  <si>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</si>
  <si>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</si>
  <si>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</si>
  <si>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</si>
  <si>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</si>
  <si>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</si>
  <si>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</si>
  <si>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</si>
  <si>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</si>
  <si>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</si>
  <si>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</si>
  <si>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</si>
  <si>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</si>
  <si>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</si>
  <si>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</si>
  <si>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</si>
  <si>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</si>
  <si>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</si>
  <si>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</si>
  <si>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</si>
  <si>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</si>
  <si>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</si>
  <si>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</si>
  <si>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</si>
  <si>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</si>
  <si>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</si>
  <si>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</si>
  <si>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</si>
  <si>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</si>
  <si>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</si>
  <si>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</si>
  <si>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</si>
  <si>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</si>
  <si>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</si>
  <si>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</si>
  <si>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</si>
  <si>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</si>
  <si>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</si>
  <si>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</si>
  <si>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</si>
  <si>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</si>
  <si>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</si>
  <si>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</si>
  <si>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</si>
  <si>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</si>
  <si>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</si>
  <si>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</si>
  <si>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</si>
  <si>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</si>
  <si>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</si>
  <si>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</si>
  <si>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</si>
  <si>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</si>
  <si>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</si>
  <si>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</si>
  <si>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</si>
  <si>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</si>
  <si>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</si>
  <si>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</si>
  <si>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</si>
  <si>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</si>
  <si>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</si>
  <si>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</si>
  <si>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</si>
  <si>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</si>
  <si>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</si>
  <si>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</si>
  <si>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</si>
  <si>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</si>
  <si>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</si>
  <si>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</si>
  <si>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</si>
  <si>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</si>
  <si>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</si>
  <si>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</si>
  <si>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</si>
  <si>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</si>
  <si>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</si>
  <si>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</si>
  <si>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</si>
  <si>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</si>
  <si>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</si>
  <si>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</si>
  <si>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</si>
  <si>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</si>
  <si>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</si>
  <si>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</si>
  <si>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</si>
  <si>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</si>
  <si>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</si>
  <si>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</si>
  <si>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</si>
  <si>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</si>
  <si>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</si>
  <si>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</si>
  <si>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</si>
  <si>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</si>
  <si>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</si>
  <si>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</si>
  <si>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</si>
  <si>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</si>
  <si>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</si>
  <si>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</si>
  <si>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</si>
  <si>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</si>
  <si>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</si>
  <si>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</si>
  <si>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</si>
  <si>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</si>
  <si>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</si>
  <si>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</si>
  <si>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</si>
  <si>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</si>
  <si>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</si>
  <si>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</si>
  <si>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</si>
  <si>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</si>
  <si>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</si>
  <si>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</si>
  <si>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</si>
  <si>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</si>
  <si>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</si>
  <si>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</si>
  <si>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</si>
  <si>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</si>
  <si>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</si>
  <si>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</si>
  <si>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</si>
  <si>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</si>
  <si>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</si>
  <si>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</si>
  <si>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</si>
  <si>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</si>
  <si>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</si>
  <si>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</si>
  <si>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</si>
  <si>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</si>
  <si>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>ลูกหนี้            -  ภาษีบำรุงท้องที่</t>
  </si>
  <si>
    <t>+</t>
  </si>
  <si>
    <t>เงินรับฝาก-ประกันสังคม</t>
  </si>
  <si>
    <t>ภาษียาสูบ</t>
  </si>
  <si>
    <t xml:space="preserve"> - ประกันสังคม</t>
  </si>
  <si>
    <t>ผู้อำนวยการกองคลัง</t>
  </si>
  <si>
    <t>เงินรับฝาก-เบี้ยยังชีพคนชรา</t>
  </si>
  <si>
    <t>6/5/57</t>
  </si>
  <si>
    <t>2898216</t>
  </si>
  <si>
    <t xml:space="preserve"> 27 ธ.ค.56</t>
  </si>
  <si>
    <t xml:space="preserve">                            ประจำเดือน กรกฎาคม พ.ศ.2557  </t>
  </si>
  <si>
    <t>ประจำเดือนกรกฎาคม  2557</t>
  </si>
  <si>
    <t>ประจำเดือน  กรกฎาคม  2557</t>
  </si>
  <si>
    <t>หมายเหตุประกอบงบทดลอง  ประจำเดือน  กรกฎาคม  2557</t>
  </si>
  <si>
    <t>สวัสดิการครู ศพด-ค่าศึกษาบุตร</t>
  </si>
  <si>
    <t>สวัสดิการครู ศพด-ค่ารักษาพยาบาล</t>
  </si>
  <si>
    <t>ค่ารักษาพยาบาล สปสช</t>
  </si>
  <si>
    <t>วันที่  31 กรกฏาคม  2557</t>
  </si>
  <si>
    <t xml:space="preserve"> - ค่ารักษาพยาบาล สปสช</t>
  </si>
  <si>
    <t>สวัสดิการครู ศพด - ค่าเล่าเรียนบุตร</t>
  </si>
  <si>
    <t>สวัสดิการครู ศพด - ค่ารักษาพยาบาล</t>
  </si>
  <si>
    <t>9/7/57</t>
  </si>
  <si>
    <t>2898297</t>
  </si>
  <si>
    <t>2898298</t>
  </si>
  <si>
    <t>17/7/57</t>
  </si>
  <si>
    <t>2898302</t>
  </si>
  <si>
    <r>
      <rPr>
        <b/>
        <u/>
        <sz val="14"/>
        <rFont val="Cordia New"/>
        <family val="2"/>
      </rPr>
      <t xml:space="preserve">หัก </t>
    </r>
    <r>
      <rPr>
        <b/>
        <sz val="14"/>
        <rFont val="Cordia New"/>
        <family val="2"/>
        <charset val="222"/>
      </rPr>
      <t xml:space="preserve">  </t>
    </r>
  </si>
  <si>
    <t>2898308</t>
  </si>
  <si>
    <t>2898315</t>
  </si>
  <si>
    <t>2898316</t>
  </si>
  <si>
    <t>2898319</t>
  </si>
  <si>
    <t>2898320</t>
  </si>
  <si>
    <t>2898322</t>
  </si>
  <si>
    <t>2898323</t>
  </si>
  <si>
    <t>2898324</t>
  </si>
  <si>
    <t>2898325</t>
  </si>
  <si>
    <t>24/7/57</t>
  </si>
  <si>
    <t>31/7/57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</si>
  <si>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 เงินฝากวันที่ 28/7/57 ฝากผิดบัญชีเข้า 289-2-43628-6</t>
    </r>
  </si>
  <si>
    <t>วันที่  31  กรกฎาคม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</si>
</sst>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5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left"/>
    </xf>
    <xf numFmtId="43" fontId="28" fillId="0" borderId="0" xfId="1" applyNumberFormat="1" applyFont="1"/>
    <xf numFmtId="0" fontId="28" fillId="0" borderId="0" xfId="0" applyFont="1"/>
    <xf numFmtId="0" fontId="28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28" fillId="0" borderId="1" xfId="0" applyFont="1" applyBorder="1"/>
    <xf numFmtId="0" fontId="28" fillId="0" borderId="3" xfId="0" applyFont="1" applyBorder="1"/>
    <xf numFmtId="49" fontId="28" fillId="0" borderId="9" xfId="0" applyNumberFormat="1" applyFont="1" applyBorder="1" applyAlignment="1">
      <alignment horizontal="center" shrinkToFit="1"/>
    </xf>
    <xf numFmtId="0" fontId="28" fillId="0" borderId="7" xfId="0" applyFont="1" applyBorder="1"/>
    <xf numFmtId="0" fontId="28" fillId="0" borderId="8" xfId="0" applyFont="1" applyBorder="1"/>
    <xf numFmtId="49" fontId="30" fillId="0" borderId="9" xfId="0" applyNumberFormat="1" applyFont="1" applyBorder="1" applyAlignment="1">
      <alignment horizontal="center" shrinkToFit="1"/>
    </xf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28" fillId="0" borderId="18" xfId="0" applyNumberFormat="1" applyFont="1" applyBorder="1" applyAlignment="1">
      <alignment horizontal="center"/>
    </xf>
    <xf numFmtId="49" fontId="28" fillId="0" borderId="21" xfId="0" applyNumberFormat="1" applyFont="1" applyBorder="1"/>
    <xf numFmtId="43" fontId="28" fillId="0" borderId="9" xfId="1" applyNumberFormat="1" applyFont="1" applyBorder="1" applyAlignment="1">
      <alignment horizontal="center" vertical="center" shrinkToFit="1"/>
    </xf>
    <xf numFmtId="43" fontId="29" fillId="0" borderId="9" xfId="1" applyNumberFormat="1" applyFont="1" applyBorder="1" applyAlignment="1">
      <alignment horizontal="center" vertical="center" shrinkToFit="1"/>
    </xf>
    <xf numFmtId="49" fontId="28" fillId="0" borderId="18" xfId="0" applyNumberFormat="1" applyFont="1" applyBorder="1"/>
    <xf numFmtId="49" fontId="33" fillId="0" borderId="18" xfId="0" applyNumberFormat="1" applyFont="1" applyBorder="1"/>
    <xf numFmtId="49" fontId="33" fillId="0" borderId="21" xfId="0" applyNumberFormat="1" applyFont="1" applyBorder="1" applyAlignment="1">
      <alignment horizontal="right"/>
    </xf>
    <xf numFmtId="43" fontId="33" fillId="0" borderId="9" xfId="1" applyNumberFormat="1" applyFont="1" applyBorder="1" applyAlignment="1">
      <alignment horizontal="center" vertical="center" shrinkToFit="1"/>
    </xf>
    <xf numFmtId="43" fontId="34" fillId="0" borderId="9" xfId="1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43" fontId="33" fillId="0" borderId="0" xfId="1" applyNumberFormat="1" applyFont="1"/>
    <xf numFmtId="0" fontId="33" fillId="0" borderId="0" xfId="0" applyFont="1"/>
    <xf numFmtId="49" fontId="33" fillId="0" borderId="17" xfId="0" applyNumberFormat="1" applyFont="1" applyBorder="1"/>
    <xf numFmtId="49" fontId="33" fillId="0" borderId="22" xfId="0" applyNumberFormat="1" applyFont="1" applyBorder="1" applyAlignment="1">
      <alignment horizontal="right"/>
    </xf>
    <xf numFmtId="43" fontId="33" fillId="0" borderId="19" xfId="1" applyNumberFormat="1" applyFont="1" applyBorder="1" applyAlignment="1">
      <alignment horizontal="center" vertical="center" shrinkToFit="1"/>
    </xf>
    <xf numFmtId="43" fontId="34" fillId="0" borderId="19" xfId="1" applyNumberFormat="1" applyFont="1" applyBorder="1" applyAlignment="1">
      <alignment horizontal="center" vertical="center" shrinkToFit="1"/>
    </xf>
    <xf numFmtId="43" fontId="33" fillId="0" borderId="0" xfId="0" applyNumberFormat="1" applyFont="1"/>
    <xf numFmtId="49" fontId="28" fillId="0" borderId="7" xfId="0" applyNumberFormat="1" applyFont="1" applyBorder="1" applyAlignment="1">
      <alignment horizontal="center"/>
    </xf>
    <xf numFmtId="49" fontId="28" fillId="0" borderId="8" xfId="0" applyNumberFormat="1" applyFont="1" applyBorder="1"/>
    <xf numFmtId="43" fontId="28" fillId="0" borderId="14" xfId="1" applyNumberFormat="1" applyFont="1" applyBorder="1" applyAlignment="1">
      <alignment horizontal="center" vertical="center" shrinkToFit="1"/>
    </xf>
    <xf numFmtId="43" fontId="29" fillId="0" borderId="14" xfId="1" applyNumberFormat="1" applyFont="1" applyBorder="1" applyAlignment="1">
      <alignment horizontal="center" vertical="center" shrinkToFit="1"/>
    </xf>
    <xf numFmtId="43" fontId="28" fillId="0" borderId="0" xfId="1" applyNumberFormat="1" applyFont="1" applyBorder="1"/>
    <xf numFmtId="49" fontId="28" fillId="0" borderId="23" xfId="0" applyNumberFormat="1" applyFont="1" applyBorder="1"/>
    <xf numFmtId="49" fontId="28" fillId="0" borderId="25" xfId="0" applyNumberFormat="1" applyFont="1" applyBorder="1"/>
    <xf numFmtId="43" fontId="28" fillId="0" borderId="52" xfId="1" applyNumberFormat="1" applyFont="1" applyBorder="1" applyAlignment="1">
      <alignment horizontal="center" vertical="center" shrinkToFit="1"/>
    </xf>
    <xf numFmtId="43" fontId="29" fillId="0" borderId="52" xfId="1" applyNumberFormat="1" applyFont="1" applyBorder="1" applyAlignment="1">
      <alignment horizontal="center" vertical="center" shrinkToFit="1"/>
    </xf>
    <xf numFmtId="49" fontId="28" fillId="0" borderId="7" xfId="0" applyNumberFormat="1" applyFont="1" applyBorder="1"/>
    <xf numFmtId="49" fontId="28" fillId="0" borderId="7" xfId="0" applyNumberFormat="1" applyFont="1" applyFill="1" applyBorder="1" applyAlignment="1">
      <alignment horizontal="center"/>
    </xf>
    <xf numFmtId="49" fontId="28" fillId="0" borderId="8" xfId="0" applyNumberFormat="1" applyFont="1" applyFill="1" applyBorder="1"/>
    <xf numFmtId="43" fontId="28" fillId="0" borderId="14" xfId="1" applyNumberFormat="1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left"/>
    </xf>
    <xf numFmtId="43" fontId="28" fillId="2" borderId="0" xfId="1" applyNumberFormat="1" applyFont="1" applyFill="1"/>
    <xf numFmtId="0" fontId="28" fillId="2" borderId="0" xfId="0" applyFont="1" applyFill="1"/>
    <xf numFmtId="49" fontId="28" fillId="0" borderId="18" xfId="0" applyNumberFormat="1" applyFont="1" applyFill="1" applyBorder="1"/>
    <xf numFmtId="49" fontId="28" fillId="0" borderId="21" xfId="0" applyNumberFormat="1" applyFont="1" applyFill="1" applyBorder="1"/>
    <xf numFmtId="43" fontId="28" fillId="0" borderId="9" xfId="1" applyNumberFormat="1" applyFont="1" applyFill="1" applyBorder="1" applyAlignment="1">
      <alignment horizontal="center" vertical="center" shrinkToFit="1"/>
    </xf>
    <xf numFmtId="49" fontId="33" fillId="0" borderId="18" xfId="0" applyNumberFormat="1" applyFont="1" applyFill="1" applyBorder="1"/>
    <xf numFmtId="49" fontId="33" fillId="0" borderId="21" xfId="0" applyNumberFormat="1" applyFont="1" applyFill="1" applyBorder="1" applyAlignment="1">
      <alignment horizontal="right"/>
    </xf>
    <xf numFmtId="43" fontId="33" fillId="0" borderId="9" xfId="1" applyNumberFormat="1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left"/>
    </xf>
    <xf numFmtId="43" fontId="33" fillId="2" borderId="0" xfId="1" applyNumberFormat="1" applyFont="1" applyFill="1"/>
    <xf numFmtId="0" fontId="33" fillId="2" borderId="0" xfId="0" applyFont="1" applyFill="1"/>
    <xf numFmtId="49" fontId="33" fillId="0" borderId="17" xfId="0" applyNumberFormat="1" applyFont="1" applyFill="1" applyBorder="1"/>
    <xf numFmtId="49" fontId="33" fillId="0" borderId="22" xfId="0" applyNumberFormat="1" applyFont="1" applyFill="1" applyBorder="1" applyAlignment="1">
      <alignment horizontal="right"/>
    </xf>
    <xf numFmtId="43" fontId="33" fillId="0" borderId="19" xfId="1" applyNumberFormat="1" applyFont="1" applyFill="1" applyBorder="1" applyAlignment="1">
      <alignment horizontal="center" vertical="center" shrinkToFit="1"/>
    </xf>
    <xf numFmtId="43" fontId="33" fillId="2" borderId="0" xfId="0" applyNumberFormat="1" applyFont="1" applyFill="1" applyAlignment="1">
      <alignment horizontal="left"/>
    </xf>
    <xf numFmtId="43" fontId="29" fillId="0" borderId="14" xfId="1" applyNumberFormat="1" applyFont="1" applyFill="1" applyBorder="1" applyAlignment="1">
      <alignment horizontal="center" vertical="center" shrinkToFit="1"/>
    </xf>
    <xf numFmtId="43" fontId="35" fillId="0" borderId="14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43" fontId="28" fillId="0" borderId="0" xfId="0" applyNumberFormat="1" applyFont="1"/>
    <xf numFmtId="49" fontId="30" fillId="0" borderId="18" xfId="0" applyNumberFormat="1" applyFont="1" applyFill="1" applyBorder="1"/>
    <xf numFmtId="49" fontId="30" fillId="0" borderId="21" xfId="0" applyNumberFormat="1" applyFont="1" applyFill="1" applyBorder="1" applyAlignment="1">
      <alignment horizontal="right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36" fillId="0" borderId="9" xfId="1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49" fontId="30" fillId="0" borderId="17" xfId="0" applyNumberFormat="1" applyFont="1" applyFill="1" applyBorder="1"/>
    <xf numFmtId="49" fontId="30" fillId="0" borderId="22" xfId="0" applyNumberFormat="1" applyFont="1" applyFill="1" applyBorder="1" applyAlignment="1">
      <alignment horizontal="right"/>
    </xf>
    <xf numFmtId="43" fontId="30" fillId="0" borderId="19" xfId="1" applyNumberFormat="1" applyFont="1" applyFill="1" applyBorder="1" applyAlignment="1">
      <alignment horizontal="center" vertical="center" shrinkToFit="1"/>
    </xf>
    <xf numFmtId="43" fontId="36" fillId="0" borderId="1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0" fontId="28" fillId="0" borderId="0" xfId="0" applyFont="1" applyFill="1" applyAlignment="1">
      <alignment horizontal="left"/>
    </xf>
    <xf numFmtId="43" fontId="28" fillId="0" borderId="0" xfId="1" applyNumberFormat="1" applyFont="1" applyFill="1" applyBorder="1"/>
    <xf numFmtId="0" fontId="28" fillId="0" borderId="0" xfId="0" applyFont="1" applyFill="1"/>
    <xf numFmtId="43" fontId="28" fillId="0" borderId="0" xfId="1" applyNumberFormat="1" applyFont="1" applyFill="1"/>
    <xf numFmtId="43" fontId="34" fillId="0" borderId="9" xfId="1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left"/>
    </xf>
    <xf numFmtId="43" fontId="33" fillId="0" borderId="0" xfId="1" applyNumberFormat="1" applyFont="1" applyFill="1"/>
    <xf numFmtId="0" fontId="33" fillId="0" borderId="0" xfId="0" applyFont="1" applyFill="1"/>
    <xf numFmtId="43" fontId="34" fillId="0" borderId="19" xfId="1" applyNumberFormat="1" applyFont="1" applyFill="1" applyBorder="1" applyAlignment="1">
      <alignment horizontal="center" vertical="center" shrinkToFit="1"/>
    </xf>
    <xf numFmtId="43" fontId="33" fillId="0" borderId="0" xfId="0" applyNumberFormat="1" applyFont="1" applyFill="1"/>
    <xf numFmtId="43" fontId="28" fillId="0" borderId="53" xfId="1" applyNumberFormat="1" applyFont="1" applyFill="1" applyBorder="1"/>
    <xf numFmtId="43" fontId="36" fillId="0" borderId="56" xfId="0" applyNumberFormat="1" applyFont="1" applyBorder="1" applyAlignment="1">
      <alignment shrinkToFit="1"/>
    </xf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36" fillId="0" borderId="0" xfId="0" applyFont="1"/>
    <xf numFmtId="0" fontId="28" fillId="0" borderId="0" xfId="0" applyFont="1" applyAlignment="1"/>
    <xf numFmtId="43" fontId="28" fillId="0" borderId="0" xfId="1" applyNumberFormat="1" applyFont="1" applyAlignment="1">
      <alignment shrinkToFit="1"/>
    </xf>
    <xf numFmtId="43" fontId="29" fillId="0" borderId="11" xfId="1" applyNumberFormat="1" applyFont="1" applyBorder="1" applyAlignment="1">
      <alignment shrinkToFit="1"/>
    </xf>
    <xf numFmtId="43" fontId="29" fillId="0" borderId="0" xfId="1" applyNumberFormat="1" applyFont="1" applyBorder="1" applyAlignment="1">
      <alignment shrinkToFit="1"/>
    </xf>
    <xf numFmtId="0" fontId="37" fillId="0" borderId="0" xfId="0" applyFont="1" applyAlignment="1"/>
    <xf numFmtId="43" fontId="29" fillId="0" borderId="6" xfId="1" applyNumberFormat="1" applyFont="1" applyBorder="1" applyAlignment="1">
      <alignment shrinkToFit="1"/>
    </xf>
    <xf numFmtId="0" fontId="38" fillId="0" borderId="0" xfId="0" applyFont="1" applyBorder="1" applyAlignment="1"/>
    <xf numFmtId="0" fontId="39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 applyBorder="1" applyAlignment="1">
      <alignment shrinkToFit="1"/>
    </xf>
    <xf numFmtId="43" fontId="29" fillId="0" borderId="2" xfId="1" applyNumberFormat="1" applyFont="1" applyBorder="1" applyAlignment="1">
      <alignment shrinkToFit="1"/>
    </xf>
    <xf numFmtId="0" fontId="28" fillId="0" borderId="0" xfId="0" applyFont="1" applyBorder="1" applyAlignment="1">
      <alignment horizontal="left"/>
    </xf>
    <xf numFmtId="43" fontId="29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8" fillId="0" borderId="9" xfId="0" applyNumberFormat="1" applyFont="1" applyBorder="1" applyAlignment="1">
      <alignment horizontal="center"/>
    </xf>
    <xf numFmtId="49" fontId="28" fillId="0" borderId="37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28" fillId="0" borderId="14" xfId="0" applyNumberFormat="1" applyFont="1" applyFill="1" applyBorder="1" applyAlignment="1">
      <alignment horizontal="center"/>
    </xf>
    <xf numFmtId="49" fontId="28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8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3" fillId="0" borderId="13" xfId="0" applyFont="1" applyBorder="1"/>
    <xf numFmtId="0" fontId="14" fillId="0" borderId="4" xfId="0" applyFont="1" applyBorder="1"/>
    <xf numFmtId="0" fontId="53" fillId="0" borderId="4" xfId="0" applyFont="1" applyBorder="1"/>
    <xf numFmtId="0" fontId="53" fillId="0" borderId="0" xfId="0" applyFont="1" applyFill="1" applyAlignment="1">
      <alignment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8" fillId="0" borderId="18" xfId="0" applyNumberFormat="1" applyFont="1" applyBorder="1" applyAlignment="1">
      <alignment horizontal="center" shrinkToFit="1"/>
    </xf>
    <xf numFmtId="49" fontId="28" fillId="0" borderId="21" xfId="0" applyNumberFormat="1" applyFont="1" applyBorder="1" applyAlignment="1">
      <alignment horizontal="center" shrinkToFit="1"/>
    </xf>
    <xf numFmtId="49" fontId="28" fillId="0" borderId="20" xfId="0" applyNumberFormat="1" applyFont="1" applyBorder="1" applyAlignment="1">
      <alignment horizont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shrinkToFit="1"/>
    </xf>
    <xf numFmtId="0" fontId="36" fillId="0" borderId="55" xfId="0" applyFont="1" applyBorder="1" applyAlignment="1">
      <alignment horizontal="center" shrinkToFit="1"/>
    </xf>
    <xf numFmtId="0" fontId="28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45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49</xdr:row>
      <xdr:rowOff>9525</xdr:rowOff>
    </xdr:from>
    <xdr:to>
      <xdr:col>3</xdr:col>
      <xdr:colOff>0</xdr:colOff>
      <xdr:row>80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49</xdr:row>
      <xdr:rowOff>9525</xdr:rowOff>
    </xdr:from>
    <xdr:to>
      <xdr:col>8</xdr:col>
      <xdr:colOff>9525</xdr:colOff>
      <xdr:row>80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46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81</xdr:row>
      <xdr:rowOff>0</xdr:rowOff>
    </xdr:from>
    <xdr:to>
      <xdr:col>5</xdr:col>
      <xdr:colOff>685800</xdr:colOff>
      <xdr:row>81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83</xdr:row>
      <xdr:rowOff>6351</xdr:rowOff>
    </xdr:from>
    <xdr:to>
      <xdr:col>1</xdr:col>
      <xdr:colOff>260350</xdr:colOff>
      <xdr:row>83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83</xdr:row>
      <xdr:rowOff>14289</xdr:rowOff>
    </xdr:from>
    <xdr:to>
      <xdr:col>7</xdr:col>
      <xdr:colOff>571496</xdr:colOff>
      <xdr:row>83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82</xdr:row>
      <xdr:rowOff>190500</xdr:rowOff>
    </xdr:from>
    <xdr:to>
      <xdr:col>5</xdr:col>
      <xdr:colOff>649287</xdr:colOff>
      <xdr:row>82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85</xdr:row>
      <xdr:rowOff>168276</xdr:rowOff>
    </xdr:from>
    <xdr:to>
      <xdr:col>1</xdr:col>
      <xdr:colOff>241300</xdr:colOff>
      <xdr:row>85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85</xdr:row>
      <xdr:rowOff>176214</xdr:rowOff>
    </xdr:from>
    <xdr:to>
      <xdr:col>7</xdr:col>
      <xdr:colOff>552446</xdr:colOff>
      <xdr:row>85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85</xdr:row>
      <xdr:rowOff>152400</xdr:rowOff>
    </xdr:from>
    <xdr:to>
      <xdr:col>5</xdr:col>
      <xdr:colOff>630237</xdr:colOff>
      <xdr:row>85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6"/>
  <sheetViews>
    <sheetView topLeftCell="B60" workbookViewId="0">
      <selection activeCell="K75" sqref="K75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19" t="s">
        <v>82</v>
      </c>
      <c r="B2" s="419"/>
      <c r="C2" s="419"/>
      <c r="D2" s="419"/>
      <c r="E2" s="419"/>
      <c r="F2" s="419"/>
      <c r="G2" s="419"/>
      <c r="H2" s="419"/>
      <c r="I2" s="419"/>
    </row>
    <row r="3" spans="1:12" ht="23.1" customHeight="1">
      <c r="A3" s="419" t="s">
        <v>81</v>
      </c>
      <c r="B3" s="419"/>
      <c r="C3" s="419"/>
      <c r="D3" s="419"/>
      <c r="E3" s="419"/>
      <c r="F3" s="419"/>
      <c r="G3" s="419"/>
      <c r="H3" s="419"/>
      <c r="I3" s="419"/>
    </row>
    <row r="4" spans="1:12" ht="23.1" customHeight="1">
      <c r="A4" s="420" t="s">
        <v>388</v>
      </c>
      <c r="B4" s="420"/>
      <c r="C4" s="420"/>
      <c r="D4" s="420"/>
      <c r="E4" s="420"/>
      <c r="F4" s="420"/>
      <c r="G4" s="420"/>
      <c r="H4" s="420"/>
      <c r="I4" s="420"/>
    </row>
    <row r="5" spans="1:12" ht="23.1" customHeight="1">
      <c r="A5" s="419" t="s">
        <v>80</v>
      </c>
      <c r="B5" s="419"/>
      <c r="C5" s="419"/>
      <c r="D5" s="419"/>
      <c r="E5" s="419"/>
      <c r="F5" s="419"/>
      <c r="G5" s="419"/>
      <c r="H5" s="419"/>
      <c r="I5" s="419"/>
    </row>
    <row r="6" spans="1:12" ht="23.1" customHeight="1" thickBot="1">
      <c r="A6" s="421" t="s">
        <v>415</v>
      </c>
      <c r="B6" s="421"/>
      <c r="C6" s="421"/>
      <c r="D6" s="421"/>
      <c r="E6" s="421"/>
      <c r="F6" s="421"/>
      <c r="G6" s="421"/>
      <c r="H6" s="421"/>
      <c r="I6" s="421"/>
    </row>
    <row r="7" spans="1:12" ht="20.399999999999999" thickTop="1">
      <c r="A7" s="422" t="s">
        <v>72</v>
      </c>
      <c r="B7" s="423"/>
      <c r="C7" s="423"/>
      <c r="D7" s="424"/>
      <c r="E7" s="425" t="s">
        <v>71</v>
      </c>
      <c r="F7" s="426"/>
      <c r="G7" s="431" t="s">
        <v>2</v>
      </c>
      <c r="H7" s="434" t="s">
        <v>70</v>
      </c>
      <c r="I7" s="435"/>
    </row>
    <row r="8" spans="1:12" ht="19.8">
      <c r="A8" s="436" t="s">
        <v>69</v>
      </c>
      <c r="B8" s="437"/>
      <c r="C8" s="33" t="s">
        <v>68</v>
      </c>
      <c r="D8" s="33"/>
      <c r="E8" s="427"/>
      <c r="F8" s="428"/>
      <c r="G8" s="432"/>
      <c r="H8" s="407" t="s">
        <v>68</v>
      </c>
      <c r="I8" s="408"/>
    </row>
    <row r="9" spans="1:12" ht="20.399999999999999" thickBot="1">
      <c r="A9" s="409" t="s">
        <v>26</v>
      </c>
      <c r="B9" s="410"/>
      <c r="C9" s="34" t="s">
        <v>26</v>
      </c>
      <c r="D9" s="34"/>
      <c r="E9" s="429"/>
      <c r="F9" s="430"/>
      <c r="G9" s="433"/>
      <c r="H9" s="411" t="s">
        <v>26</v>
      </c>
      <c r="I9" s="412"/>
    </row>
    <row r="10" spans="1:12" ht="24" customHeight="1" thickTop="1">
      <c r="A10" s="67"/>
      <c r="B10" s="74"/>
      <c r="C10" s="413">
        <v>23198377.32</v>
      </c>
      <c r="D10" s="414"/>
      <c r="E10" s="415" t="s">
        <v>55</v>
      </c>
      <c r="F10" s="416"/>
      <c r="G10" s="35"/>
      <c r="H10" s="417">
        <v>35131632.450000003</v>
      </c>
      <c r="I10" s="418"/>
    </row>
    <row r="11" spans="1:12" ht="24.9" customHeight="1">
      <c r="A11" s="67"/>
      <c r="B11" s="75"/>
      <c r="C11" s="33"/>
      <c r="D11" s="36"/>
      <c r="E11" s="440" t="s">
        <v>79</v>
      </c>
      <c r="F11" s="441"/>
      <c r="G11" s="37"/>
      <c r="H11" s="417"/>
      <c r="I11" s="418"/>
    </row>
    <row r="12" spans="1:12" ht="24.9" customHeight="1">
      <c r="A12" s="67">
        <v>217000</v>
      </c>
      <c r="B12" s="37" t="s">
        <v>5</v>
      </c>
      <c r="C12" s="417">
        <f>2274.84+2320.23+71.2+24370.51+38284.36+41647.74+45494.63+6778.85+10731.13+6494.46</f>
        <v>178467.95</v>
      </c>
      <c r="D12" s="418"/>
      <c r="E12" s="438" t="s">
        <v>126</v>
      </c>
      <c r="F12" s="439"/>
      <c r="G12" s="37" t="s">
        <v>113</v>
      </c>
      <c r="H12" s="417">
        <f>6274.46+220</f>
        <v>6494.46</v>
      </c>
      <c r="I12" s="418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417">
        <f>120+1096+50+170+1850+10168+225+2880</f>
        <v>16559</v>
      </c>
      <c r="D13" s="418"/>
      <c r="E13" s="438" t="s">
        <v>125</v>
      </c>
      <c r="F13" s="439"/>
      <c r="G13" s="37" t="s">
        <v>114</v>
      </c>
      <c r="H13" s="417">
        <f>400+250+2230</f>
        <v>2880</v>
      </c>
      <c r="I13" s="418"/>
      <c r="J13" s="39"/>
      <c r="K13" s="39"/>
    </row>
    <row r="14" spans="1:12" ht="24.9" customHeight="1">
      <c r="A14" s="67">
        <v>160000</v>
      </c>
      <c r="B14" s="37" t="s">
        <v>5</v>
      </c>
      <c r="C14" s="417">
        <f>18843.08+8352.82+21688.98+25791.27+106473.52</f>
        <v>181149.67</v>
      </c>
      <c r="D14" s="418"/>
      <c r="E14" s="438" t="s">
        <v>124</v>
      </c>
      <c r="F14" s="439"/>
      <c r="G14" s="37" t="s">
        <v>115</v>
      </c>
      <c r="H14" s="417">
        <v>106473.52</v>
      </c>
      <c r="I14" s="418"/>
      <c r="J14" s="39"/>
      <c r="K14" s="39"/>
    </row>
    <row r="15" spans="1:12" ht="24.9" customHeight="1">
      <c r="A15" s="67">
        <v>600000</v>
      </c>
      <c r="B15" s="37" t="s">
        <v>5</v>
      </c>
      <c r="C15" s="417">
        <f>48630+48855+66955+44025+53890+53620+46565+81415+82550+70355</f>
        <v>596860</v>
      </c>
      <c r="D15" s="418"/>
      <c r="E15" s="438" t="s">
        <v>123</v>
      </c>
      <c r="F15" s="439"/>
      <c r="G15" s="37" t="s">
        <v>116</v>
      </c>
      <c r="H15" s="417">
        <v>70355</v>
      </c>
      <c r="I15" s="418"/>
      <c r="J15" s="39"/>
      <c r="K15" s="39"/>
    </row>
    <row r="16" spans="1:12" ht="24.9" customHeight="1">
      <c r="A16" s="67">
        <v>80000</v>
      </c>
      <c r="B16" s="37" t="s">
        <v>5</v>
      </c>
      <c r="C16" s="417">
        <f>3288+2450+23500+25400+5200+30500+4500</f>
        <v>94838</v>
      </c>
      <c r="D16" s="418"/>
      <c r="E16" s="438" t="s">
        <v>122</v>
      </c>
      <c r="F16" s="439"/>
      <c r="G16" s="37" t="s">
        <v>117</v>
      </c>
      <c r="H16" s="417">
        <v>4500</v>
      </c>
      <c r="I16" s="418"/>
      <c r="J16" s="39"/>
      <c r="K16" s="39"/>
    </row>
    <row r="17" spans="1:11" ht="24.9" customHeight="1">
      <c r="A17" s="67">
        <v>13102500</v>
      </c>
      <c r="B17" s="37" t="s">
        <v>5</v>
      </c>
      <c r="C17" s="417">
        <f>1194421.42+1291122.84+1916565.74+558227.62+2199801.41+19990+2195403.92+548705.14+1300805.82+2492236.56</f>
        <v>13717280.470000001</v>
      </c>
      <c r="D17" s="418"/>
      <c r="E17" s="438" t="s">
        <v>121</v>
      </c>
      <c r="F17" s="439"/>
      <c r="G17" s="37" t="s">
        <v>118</v>
      </c>
      <c r="H17" s="417">
        <f>1229588.86+480435.06+665260.97+27141.07+46818+42527+465.6</f>
        <v>2492236.56</v>
      </c>
      <c r="I17" s="418"/>
      <c r="J17" s="39"/>
      <c r="K17" s="39"/>
    </row>
    <row r="18" spans="1:11" ht="24.9" customHeight="1">
      <c r="A18" s="67">
        <v>12000000</v>
      </c>
      <c r="B18" s="37" t="s">
        <v>5</v>
      </c>
      <c r="C18" s="442">
        <f>10804861+1756800</f>
        <v>12561661</v>
      </c>
      <c r="D18" s="443"/>
      <c r="E18" s="438" t="s">
        <v>120</v>
      </c>
      <c r="F18" s="439"/>
      <c r="G18" s="37" t="s">
        <v>119</v>
      </c>
      <c r="H18" s="442">
        <v>0</v>
      </c>
      <c r="I18" s="443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444">
        <f>SUM(C12:C18)</f>
        <v>27346816.09</v>
      </c>
      <c r="D19" s="445"/>
      <c r="E19" s="438"/>
      <c r="F19" s="439"/>
      <c r="G19" s="37"/>
      <c r="H19" s="444">
        <f>SUM(H12:H18)</f>
        <v>2682939.54</v>
      </c>
      <c r="I19" s="445"/>
      <c r="J19" s="39"/>
      <c r="K19" s="39"/>
    </row>
    <row r="20" spans="1:11" ht="24" hidden="1" customHeight="1">
      <c r="A20" s="69"/>
      <c r="B20" s="77"/>
      <c r="C20" s="413">
        <v>0</v>
      </c>
      <c r="D20" s="414"/>
      <c r="E20" s="438" t="s">
        <v>78</v>
      </c>
      <c r="F20" s="439"/>
      <c r="G20" s="37" t="s">
        <v>77</v>
      </c>
      <c r="H20" s="417" t="s">
        <v>5</v>
      </c>
      <c r="I20" s="418"/>
      <c r="J20" s="39"/>
      <c r="K20" s="39"/>
    </row>
    <row r="21" spans="1:11" ht="24.9" customHeight="1" thickTop="1">
      <c r="A21" s="69"/>
      <c r="B21" s="78"/>
      <c r="C21" s="417">
        <f>3382200+864900+3052200+121250+322550+15361</f>
        <v>7758461</v>
      </c>
      <c r="D21" s="418"/>
      <c r="E21" s="438" t="s">
        <v>165</v>
      </c>
      <c r="F21" s="439"/>
      <c r="G21" s="37" t="s">
        <v>127</v>
      </c>
      <c r="H21" s="417">
        <f>15361</f>
        <v>15361</v>
      </c>
      <c r="I21" s="418"/>
      <c r="J21" s="39"/>
      <c r="K21" s="39"/>
    </row>
    <row r="22" spans="1:11" ht="19.8" hidden="1">
      <c r="A22" s="69"/>
      <c r="B22" s="78"/>
      <c r="C22" s="417"/>
      <c r="D22" s="418"/>
      <c r="E22" s="52" t="s">
        <v>156</v>
      </c>
      <c r="F22" s="53"/>
      <c r="G22" s="37"/>
      <c r="H22" s="417"/>
      <c r="I22" s="418"/>
      <c r="J22" s="39"/>
      <c r="K22" s="39"/>
    </row>
    <row r="23" spans="1:11" ht="19.8">
      <c r="A23" s="69"/>
      <c r="B23" s="78"/>
      <c r="C23" s="417">
        <f>13452.95+6760.42+7120.9+4126.64+1657.18+12559.95+4718.32+20592.73+3548.07+30738.7</f>
        <v>105275.86000000002</v>
      </c>
      <c r="D23" s="418"/>
      <c r="E23" s="438" t="s">
        <v>65</v>
      </c>
      <c r="F23" s="439"/>
      <c r="G23" s="37" t="s">
        <v>141</v>
      </c>
      <c r="H23" s="417">
        <f>'หมายเหตุ 2'!D12</f>
        <v>30738.699999999997</v>
      </c>
      <c r="I23" s="418"/>
      <c r="J23" s="39"/>
      <c r="K23" s="39"/>
    </row>
    <row r="24" spans="1:11" ht="19.8">
      <c r="A24" s="69"/>
      <c r="B24" s="78"/>
      <c r="C24" s="417">
        <f>858.85+1965.12+56.96+8096.33+1504.99+2759+1124.07+385.37+689.75+896.23</f>
        <v>18336.669999999998</v>
      </c>
      <c r="D24" s="418"/>
      <c r="E24" s="363" t="s">
        <v>389</v>
      </c>
      <c r="F24" s="361"/>
      <c r="G24" s="37" t="s">
        <v>390</v>
      </c>
      <c r="H24" s="417">
        <v>896.23</v>
      </c>
      <c r="I24" s="418"/>
      <c r="J24" s="39"/>
      <c r="K24" s="39"/>
    </row>
    <row r="25" spans="1:11" ht="24.9" customHeight="1">
      <c r="A25" s="85"/>
      <c r="B25" s="78"/>
      <c r="C25" s="417">
        <f>21000</f>
        <v>21000</v>
      </c>
      <c r="D25" s="418"/>
      <c r="E25" s="363" t="s">
        <v>392</v>
      </c>
      <c r="F25" s="77"/>
      <c r="G25" s="37" t="s">
        <v>391</v>
      </c>
      <c r="H25" s="417">
        <v>0</v>
      </c>
      <c r="I25" s="418"/>
      <c r="J25" s="39"/>
      <c r="K25" s="39"/>
    </row>
    <row r="26" spans="1:11" ht="19.8" hidden="1">
      <c r="A26" s="85"/>
      <c r="B26" s="78"/>
      <c r="C26" s="417"/>
      <c r="D26" s="418"/>
      <c r="E26" s="438"/>
      <c r="F26" s="439"/>
      <c r="G26" s="37"/>
      <c r="H26" s="417"/>
      <c r="I26" s="418"/>
      <c r="J26" s="39">
        <f>C26+H26</f>
        <v>0</v>
      </c>
      <c r="K26" s="39" t="e">
        <v>#VALUE!</v>
      </c>
    </row>
    <row r="27" spans="1:11" ht="19.8">
      <c r="A27" s="85"/>
      <c r="B27" s="78"/>
      <c r="C27" s="417">
        <f>4390+6895+2790+1085+75+2045+340</f>
        <v>17620</v>
      </c>
      <c r="D27" s="418"/>
      <c r="E27" s="363" t="s">
        <v>393</v>
      </c>
      <c r="F27" s="77"/>
      <c r="G27" s="37" t="s">
        <v>394</v>
      </c>
      <c r="H27" s="417">
        <v>340</v>
      </c>
      <c r="I27" s="418"/>
      <c r="J27" s="39"/>
      <c r="K27" s="39"/>
    </row>
    <row r="28" spans="1:11" ht="19.8">
      <c r="A28" s="85"/>
      <c r="B28" s="78"/>
      <c r="C28" s="417">
        <f>130065.07+450+0.01</f>
        <v>130515.08</v>
      </c>
      <c r="D28" s="418"/>
      <c r="E28" s="365" t="s">
        <v>14</v>
      </c>
      <c r="F28" s="361"/>
      <c r="G28" s="37" t="s">
        <v>395</v>
      </c>
      <c r="H28" s="417">
        <v>0</v>
      </c>
      <c r="I28" s="418"/>
      <c r="J28" s="39"/>
      <c r="K28" s="39"/>
    </row>
    <row r="29" spans="1:11" ht="23.4">
      <c r="A29" s="85"/>
      <c r="B29" s="78"/>
      <c r="C29" s="417">
        <f>2000+2000</f>
        <v>4000</v>
      </c>
      <c r="D29" s="418"/>
      <c r="E29" s="364" t="s">
        <v>401</v>
      </c>
      <c r="F29" s="77"/>
      <c r="G29" s="37"/>
      <c r="H29" s="417">
        <v>0</v>
      </c>
      <c r="I29" s="418"/>
      <c r="J29" s="39"/>
      <c r="K29" s="39"/>
    </row>
    <row r="30" spans="1:11" ht="19.8">
      <c r="A30" s="85"/>
      <c r="B30" s="78"/>
      <c r="C30" s="417">
        <f>1177400+532650+105000+214500+105000-2250</f>
        <v>2132300</v>
      </c>
      <c r="D30" s="418"/>
      <c r="E30" s="366" t="s">
        <v>159</v>
      </c>
      <c r="F30" s="77"/>
      <c r="G30" s="37" t="s">
        <v>169</v>
      </c>
      <c r="H30" s="417">
        <f>105000</f>
        <v>105000</v>
      </c>
      <c r="I30" s="418"/>
      <c r="J30" s="39"/>
      <c r="K30" s="39"/>
    </row>
    <row r="31" spans="1:11" ht="19.8">
      <c r="A31" s="85"/>
      <c r="B31" s="78"/>
      <c r="C31" s="417">
        <f>11400+81600+28650+105200</f>
        <v>226850</v>
      </c>
      <c r="D31" s="418"/>
      <c r="E31" s="366" t="s">
        <v>189</v>
      </c>
      <c r="F31" s="53"/>
      <c r="G31" s="37" t="s">
        <v>128</v>
      </c>
      <c r="H31" s="417">
        <f>84300+20900</f>
        <v>105200</v>
      </c>
      <c r="I31" s="418"/>
      <c r="J31" s="39"/>
      <c r="K31" s="39"/>
    </row>
    <row r="32" spans="1:11" ht="19.8">
      <c r="A32" s="85"/>
      <c r="B32" s="78"/>
      <c r="C32" s="417">
        <f>7291+7291+7291+7291+7291+7291</f>
        <v>43746</v>
      </c>
      <c r="D32" s="418"/>
      <c r="E32" s="371" t="s">
        <v>407</v>
      </c>
      <c r="F32" s="360"/>
      <c r="G32" s="37"/>
      <c r="H32" s="417">
        <v>7291</v>
      </c>
      <c r="I32" s="418"/>
      <c r="J32" s="39"/>
      <c r="K32" s="39"/>
    </row>
    <row r="33" spans="1:12" ht="19.8">
      <c r="A33" s="85"/>
      <c r="B33" s="78"/>
      <c r="C33" s="397"/>
      <c r="D33" s="398"/>
      <c r="E33" s="399"/>
      <c r="F33" s="400"/>
      <c r="G33" s="37"/>
      <c r="H33" s="397"/>
      <c r="I33" s="398"/>
      <c r="J33" s="39"/>
      <c r="K33" s="39"/>
    </row>
    <row r="34" spans="1:12" ht="19.8">
      <c r="A34" s="85"/>
      <c r="B34" s="78"/>
      <c r="C34" s="397"/>
      <c r="D34" s="398"/>
      <c r="E34" s="399"/>
      <c r="F34" s="400"/>
      <c r="G34" s="37"/>
      <c r="H34" s="397"/>
      <c r="I34" s="398"/>
      <c r="J34" s="39"/>
      <c r="K34" s="39"/>
    </row>
    <row r="35" spans="1:12" ht="19.8">
      <c r="A35" s="85"/>
      <c r="B35" s="78"/>
      <c r="C35" s="417"/>
      <c r="D35" s="418"/>
      <c r="E35" s="52"/>
      <c r="F35" s="53"/>
      <c r="G35" s="37"/>
      <c r="H35" s="417"/>
      <c r="I35" s="418"/>
      <c r="J35" s="39"/>
      <c r="K35" s="39"/>
    </row>
    <row r="36" spans="1:12" ht="19.8">
      <c r="A36" s="85"/>
      <c r="B36" s="78"/>
      <c r="C36" s="367"/>
      <c r="D36" s="368"/>
      <c r="E36" s="369"/>
      <c r="F36" s="370"/>
      <c r="G36" s="37"/>
      <c r="H36" s="367"/>
      <c r="I36" s="368"/>
      <c r="J36" s="39"/>
      <c r="K36" s="39"/>
    </row>
    <row r="37" spans="1:12" ht="19.8">
      <c r="A37" s="85"/>
      <c r="B37" s="78"/>
      <c r="C37" s="50"/>
      <c r="D37" s="51"/>
      <c r="E37" s="52"/>
      <c r="F37" s="53"/>
      <c r="G37" s="37"/>
      <c r="H37" s="50"/>
      <c r="I37" s="51"/>
      <c r="J37" s="39"/>
      <c r="K37" s="39"/>
    </row>
    <row r="38" spans="1:12" ht="19.8">
      <c r="A38" s="85"/>
      <c r="B38" s="78"/>
      <c r="C38" s="50"/>
      <c r="D38" s="51"/>
      <c r="E38" s="52"/>
      <c r="F38" s="53"/>
      <c r="G38" s="37"/>
      <c r="H38" s="50"/>
      <c r="I38" s="51"/>
      <c r="J38" s="39"/>
      <c r="K38" s="39"/>
    </row>
    <row r="39" spans="1:12" ht="24.9" hidden="1" customHeight="1">
      <c r="A39" s="69"/>
      <c r="B39" s="78"/>
      <c r="C39" s="417"/>
      <c r="D39" s="418"/>
      <c r="E39" s="438" t="s">
        <v>74</v>
      </c>
      <c r="F39" s="439"/>
      <c r="G39" s="37" t="s">
        <v>128</v>
      </c>
      <c r="H39" s="417"/>
      <c r="I39" s="418"/>
      <c r="J39" s="39">
        <f t="shared" ref="J39:J44" si="0">C39+H39</f>
        <v>0</v>
      </c>
      <c r="K39" s="39" t="e">
        <v>#VALUE!</v>
      </c>
      <c r="L39" s="32">
        <v>123028</v>
      </c>
    </row>
    <row r="40" spans="1:12" s="62" customFormat="1" ht="24.9" hidden="1" customHeight="1">
      <c r="A40" s="69"/>
      <c r="B40" s="78"/>
      <c r="C40" s="417"/>
      <c r="D40" s="418"/>
      <c r="E40" s="438" t="s">
        <v>75</v>
      </c>
      <c r="F40" s="439"/>
      <c r="G40" s="60">
        <v>110607</v>
      </c>
      <c r="H40" s="417"/>
      <c r="I40" s="418"/>
      <c r="J40" s="61">
        <f t="shared" si="0"/>
        <v>0</v>
      </c>
      <c r="K40" s="61" t="e">
        <v>#VALUE!</v>
      </c>
      <c r="L40" s="62">
        <v>6560</v>
      </c>
    </row>
    <row r="41" spans="1:12" ht="24.9" hidden="1" customHeight="1">
      <c r="A41" s="69"/>
      <c r="B41" s="78"/>
      <c r="C41" s="417"/>
      <c r="D41" s="418"/>
      <c r="E41" s="438" t="s">
        <v>14</v>
      </c>
      <c r="F41" s="439"/>
      <c r="G41" s="37" t="s">
        <v>155</v>
      </c>
      <c r="H41" s="452"/>
      <c r="I41" s="453"/>
      <c r="J41" s="39">
        <f t="shared" si="0"/>
        <v>0</v>
      </c>
      <c r="K41" s="39" t="e">
        <v>#VALUE!</v>
      </c>
      <c r="L41" s="32">
        <f>SUM(L39:L40)</f>
        <v>129588</v>
      </c>
    </row>
    <row r="42" spans="1:12" ht="24.9" hidden="1" customHeight="1">
      <c r="A42" s="69"/>
      <c r="B42" s="78"/>
      <c r="C42" s="417"/>
      <c r="D42" s="418"/>
      <c r="E42" s="52" t="s">
        <v>157</v>
      </c>
      <c r="F42" s="53"/>
      <c r="G42" s="37" t="s">
        <v>134</v>
      </c>
      <c r="H42" s="417"/>
      <c r="I42" s="418"/>
      <c r="J42" s="39">
        <f t="shared" si="0"/>
        <v>0</v>
      </c>
      <c r="K42" s="39"/>
    </row>
    <row r="43" spans="1:12" ht="24" hidden="1" customHeight="1">
      <c r="A43" s="69"/>
      <c r="B43" s="78"/>
      <c r="C43" s="417"/>
      <c r="D43" s="418"/>
      <c r="E43" s="52" t="s">
        <v>162</v>
      </c>
      <c r="F43" s="53"/>
      <c r="G43" s="37"/>
      <c r="H43" s="417"/>
      <c r="I43" s="418"/>
      <c r="J43" s="39">
        <f t="shared" si="0"/>
        <v>0</v>
      </c>
      <c r="K43" s="39"/>
    </row>
    <row r="44" spans="1:12" ht="24" hidden="1" customHeight="1">
      <c r="A44" s="69"/>
      <c r="B44" s="78"/>
      <c r="C44" s="417"/>
      <c r="D44" s="418"/>
      <c r="E44" s="52" t="s">
        <v>163</v>
      </c>
      <c r="F44" s="53"/>
      <c r="G44" s="37"/>
      <c r="H44" s="417"/>
      <c r="I44" s="418"/>
      <c r="J44" s="39">
        <f t="shared" si="0"/>
        <v>0</v>
      </c>
      <c r="K44" s="39"/>
    </row>
    <row r="45" spans="1:12" ht="24" customHeight="1">
      <c r="A45" s="69"/>
      <c r="B45" s="78"/>
      <c r="C45" s="446">
        <f>SUM(C21:C44)</f>
        <v>10458104.609999999</v>
      </c>
      <c r="D45" s="447"/>
      <c r="E45" s="438"/>
      <c r="F45" s="439"/>
      <c r="G45" s="37"/>
      <c r="H45" s="446">
        <f>SUM(H21:H44)</f>
        <v>264826.93</v>
      </c>
      <c r="I45" s="447"/>
      <c r="J45" s="39"/>
      <c r="K45" s="39"/>
    </row>
    <row r="46" spans="1:12" s="55" customFormat="1" ht="24" customHeight="1">
      <c r="A46" s="70"/>
      <c r="B46" s="80"/>
      <c r="C46" s="448">
        <f>C19+C45</f>
        <v>37804920.700000003</v>
      </c>
      <c r="D46" s="449"/>
      <c r="E46" s="450" t="s">
        <v>73</v>
      </c>
      <c r="F46" s="451"/>
      <c r="G46" s="86"/>
      <c r="H46" s="448">
        <f>H19+H45</f>
        <v>2947766.47</v>
      </c>
      <c r="I46" s="449"/>
      <c r="J46" s="54"/>
      <c r="K46" s="54"/>
    </row>
    <row r="47" spans="1:12" ht="17.100000000000001" customHeight="1">
      <c r="A47" s="454" t="s">
        <v>72</v>
      </c>
      <c r="B47" s="455"/>
      <c r="C47" s="455"/>
      <c r="D47" s="456"/>
      <c r="E47" s="457" t="s">
        <v>71</v>
      </c>
      <c r="F47" s="458"/>
      <c r="G47" s="461" t="s">
        <v>2</v>
      </c>
      <c r="H47" s="463" t="s">
        <v>70</v>
      </c>
      <c r="I47" s="464"/>
    </row>
    <row r="48" spans="1:12" ht="17.100000000000001" customHeight="1">
      <c r="A48" s="465" t="s">
        <v>69</v>
      </c>
      <c r="B48" s="466"/>
      <c r="C48" s="407" t="s">
        <v>68</v>
      </c>
      <c r="D48" s="408"/>
      <c r="E48" s="427"/>
      <c r="F48" s="428"/>
      <c r="G48" s="432"/>
      <c r="H48" s="467" t="s">
        <v>68</v>
      </c>
      <c r="I48" s="468"/>
    </row>
    <row r="49" spans="1:13" ht="17.100000000000001" customHeight="1">
      <c r="A49" s="469" t="s">
        <v>26</v>
      </c>
      <c r="B49" s="470"/>
      <c r="C49" s="471" t="s">
        <v>26</v>
      </c>
      <c r="D49" s="472"/>
      <c r="E49" s="459"/>
      <c r="F49" s="460"/>
      <c r="G49" s="462"/>
      <c r="H49" s="471" t="s">
        <v>26</v>
      </c>
      <c r="I49" s="472"/>
    </row>
    <row r="50" spans="1:13" ht="17.100000000000001" customHeight="1">
      <c r="A50" s="67"/>
      <c r="B50" s="75"/>
      <c r="C50" s="41"/>
      <c r="D50" s="36"/>
      <c r="E50" s="42" t="s">
        <v>67</v>
      </c>
      <c r="F50" s="36"/>
      <c r="G50" s="37"/>
      <c r="H50" s="417"/>
      <c r="I50" s="418"/>
    </row>
    <row r="51" spans="1:13" ht="23.1" customHeight="1">
      <c r="A51" s="67">
        <v>1354110</v>
      </c>
      <c r="B51" s="37" t="s">
        <v>5</v>
      </c>
      <c r="C51" s="417">
        <f>79864+156971+19475.7+110041+10041+10041+13021+34476+71841</f>
        <v>505771.7</v>
      </c>
      <c r="D51" s="418"/>
      <c r="E51" s="42"/>
      <c r="F51" s="36" t="s">
        <v>6</v>
      </c>
      <c r="G51" s="37" t="s">
        <v>129</v>
      </c>
      <c r="H51" s="417">
        <v>71841</v>
      </c>
      <c r="I51" s="418"/>
      <c r="J51" s="39"/>
      <c r="K51" s="39"/>
    </row>
    <row r="52" spans="1:13" ht="23.1" customHeight="1">
      <c r="A52" s="67">
        <v>2052720</v>
      </c>
      <c r="B52" s="37" t="s">
        <v>5</v>
      </c>
      <c r="C52" s="417">
        <f>171060+171060+171060+171060+171060+171060+171060+171060+171060+171060</f>
        <v>1710600</v>
      </c>
      <c r="D52" s="418"/>
      <c r="E52" s="44"/>
      <c r="F52" s="36" t="s">
        <v>130</v>
      </c>
      <c r="G52" s="37" t="s">
        <v>132</v>
      </c>
      <c r="H52" s="417">
        <v>171060</v>
      </c>
      <c r="I52" s="418"/>
      <c r="J52" s="39"/>
      <c r="K52" s="39"/>
      <c r="L52" s="417"/>
      <c r="M52" s="418"/>
    </row>
    <row r="53" spans="1:13" ht="23.1" customHeight="1">
      <c r="A53" s="67">
        <v>4122760</v>
      </c>
      <c r="B53" s="37" t="s">
        <v>5</v>
      </c>
      <c r="C53" s="417">
        <f>272220+272300+272260+553030+296792+283020+300600+291346.29+284955.32+299465</f>
        <v>3125988.61</v>
      </c>
      <c r="D53" s="418"/>
      <c r="E53" s="44"/>
      <c r="F53" s="36" t="s">
        <v>131</v>
      </c>
      <c r="G53" s="37" t="s">
        <v>133</v>
      </c>
      <c r="H53" s="417">
        <v>299465</v>
      </c>
      <c r="I53" s="418"/>
      <c r="J53" s="39"/>
      <c r="K53" s="39"/>
    </row>
    <row r="54" spans="1:13" ht="23.1" customHeight="1">
      <c r="A54" s="67">
        <v>1072840</v>
      </c>
      <c r="B54" s="37" t="s">
        <v>5</v>
      </c>
      <c r="C54" s="417">
        <f>100800+100800+100800+100800+100800+100800+100800+100800+100800+100800</f>
        <v>1008000</v>
      </c>
      <c r="D54" s="418"/>
      <c r="E54" s="44"/>
      <c r="F54" s="36" t="s">
        <v>188</v>
      </c>
      <c r="G54" s="37" t="s">
        <v>133</v>
      </c>
      <c r="H54" s="417">
        <v>100800</v>
      </c>
      <c r="I54" s="418"/>
      <c r="J54" s="39"/>
      <c r="K54" s="39"/>
    </row>
    <row r="55" spans="1:13" ht="23.1" customHeight="1">
      <c r="A55" s="67">
        <v>1138500</v>
      </c>
      <c r="B55" s="37" t="s">
        <v>5</v>
      </c>
      <c r="C55" s="417">
        <f>8337+29216+15582+34370+87300+6300+5800+6200+74850+25500</f>
        <v>293455</v>
      </c>
      <c r="D55" s="418"/>
      <c r="E55" s="44"/>
      <c r="F55" s="36" t="s">
        <v>7</v>
      </c>
      <c r="G55" s="37" t="s">
        <v>134</v>
      </c>
      <c r="H55" s="417">
        <f>4600+20900</f>
        <v>25500</v>
      </c>
      <c r="I55" s="418"/>
      <c r="J55" s="39"/>
      <c r="K55" s="39"/>
    </row>
    <row r="56" spans="1:13" ht="23.1" customHeight="1">
      <c r="A56" s="67">
        <v>4350000</v>
      </c>
      <c r="B56" s="37" t="s">
        <v>5</v>
      </c>
      <c r="C56" s="417">
        <f>10000+141899+44982+565516+93427.78+122748+139131.65+641127+153806+504848.7</f>
        <v>2417486.13</v>
      </c>
      <c r="D56" s="418"/>
      <c r="E56" s="44"/>
      <c r="F56" s="36" t="s">
        <v>8</v>
      </c>
      <c r="G56" s="37" t="s">
        <v>135</v>
      </c>
      <c r="H56" s="417">
        <f>420549-0.3+84300</f>
        <v>504848.7</v>
      </c>
      <c r="I56" s="418"/>
      <c r="J56" s="39"/>
      <c r="K56" s="39"/>
    </row>
    <row r="57" spans="1:13" ht="23.1" customHeight="1">
      <c r="A57" s="67">
        <v>3013160</v>
      </c>
      <c r="B57" s="37" t="s">
        <v>5</v>
      </c>
      <c r="C57" s="417">
        <f>13630+10260+48824+821788.8+136299+43627+119204+137070.55</f>
        <v>1330703.3500000001</v>
      </c>
      <c r="D57" s="418"/>
      <c r="E57" s="44"/>
      <c r="F57" s="36" t="s">
        <v>9</v>
      </c>
      <c r="G57" s="37" t="s">
        <v>136</v>
      </c>
      <c r="H57" s="417">
        <v>137070.54999999999</v>
      </c>
      <c r="I57" s="418"/>
      <c r="J57" s="39"/>
      <c r="K57" s="39"/>
      <c r="L57" s="40"/>
    </row>
    <row r="58" spans="1:13" ht="23.1" customHeight="1">
      <c r="A58" s="87">
        <v>800000</v>
      </c>
      <c r="B58" s="37" t="s">
        <v>5</v>
      </c>
      <c r="C58" s="417">
        <f>67006.31+68657.95+66849.25+66250.44-1315+65990.16+67860.25+100824.52+80625.81+89956.53+73808.39</f>
        <v>746514.61</v>
      </c>
      <c r="D58" s="418"/>
      <c r="E58" s="44"/>
      <c r="F58" s="36" t="s">
        <v>10</v>
      </c>
      <c r="G58" s="37" t="s">
        <v>137</v>
      </c>
      <c r="H58" s="417">
        <v>73808.39</v>
      </c>
      <c r="I58" s="418"/>
      <c r="J58" s="39"/>
      <c r="K58" s="39"/>
    </row>
    <row r="59" spans="1:13" ht="23.1" customHeight="1">
      <c r="A59" s="87">
        <v>980950</v>
      </c>
      <c r="B59" s="37" t="s">
        <v>5</v>
      </c>
      <c r="C59" s="417">
        <f>49080.1+18300+55900+59200+26100+37000</f>
        <v>245580.1</v>
      </c>
      <c r="D59" s="418"/>
      <c r="E59" s="44"/>
      <c r="F59" s="36" t="s">
        <v>12</v>
      </c>
      <c r="G59" s="37" t="s">
        <v>138</v>
      </c>
      <c r="H59" s="417">
        <v>37000</v>
      </c>
      <c r="I59" s="418"/>
      <c r="J59" s="39"/>
      <c r="K59" s="39"/>
    </row>
    <row r="60" spans="1:13" ht="23.1" customHeight="1">
      <c r="A60" s="87">
        <v>4493660</v>
      </c>
      <c r="B60" s="37" t="s">
        <v>5</v>
      </c>
      <c r="C60" s="417">
        <f>84000+35000+260800+153384+133000+1766545</f>
        <v>2432729</v>
      </c>
      <c r="D60" s="418"/>
      <c r="E60" s="44"/>
      <c r="F60" s="36" t="s">
        <v>56</v>
      </c>
      <c r="G60" s="37" t="s">
        <v>139</v>
      </c>
      <c r="H60" s="417">
        <v>1766545</v>
      </c>
      <c r="I60" s="418"/>
      <c r="J60" s="39"/>
      <c r="K60" s="39"/>
    </row>
    <row r="61" spans="1:13" ht="23.1" customHeight="1">
      <c r="A61" s="87">
        <v>25000</v>
      </c>
      <c r="B61" s="37" t="s">
        <v>5</v>
      </c>
      <c r="C61" s="417">
        <v>0</v>
      </c>
      <c r="D61" s="418"/>
      <c r="E61" s="44"/>
      <c r="F61" s="45" t="s">
        <v>66</v>
      </c>
      <c r="G61" s="37" t="s">
        <v>140</v>
      </c>
      <c r="H61" s="417">
        <v>0</v>
      </c>
      <c r="I61" s="418"/>
      <c r="J61" s="39"/>
      <c r="K61" s="39"/>
    </row>
    <row r="62" spans="1:13" ht="23.1" customHeight="1">
      <c r="A62" s="87">
        <v>2807000</v>
      </c>
      <c r="B62" s="37" t="s">
        <v>5</v>
      </c>
      <c r="C62" s="417">
        <f>1316000+70000+1312000</f>
        <v>2698000</v>
      </c>
      <c r="D62" s="418"/>
      <c r="E62" s="44"/>
      <c r="F62" s="36" t="s">
        <v>11</v>
      </c>
      <c r="G62" s="38">
        <v>561000</v>
      </c>
      <c r="H62" s="417">
        <v>0</v>
      </c>
      <c r="I62" s="418"/>
      <c r="J62" s="39"/>
      <c r="K62" s="39"/>
      <c r="L62" s="40"/>
    </row>
    <row r="63" spans="1:13" ht="18.899999999999999" customHeight="1">
      <c r="A63" s="88">
        <f>SUM(A51:A62)</f>
        <v>26210700</v>
      </c>
      <c r="B63" s="63" t="s">
        <v>5</v>
      </c>
      <c r="C63" s="473">
        <f>SUM(C51:C62)</f>
        <v>16514828.5</v>
      </c>
      <c r="D63" s="474"/>
      <c r="E63" s="44"/>
      <c r="F63" s="45"/>
      <c r="G63" s="37"/>
      <c r="H63" s="473">
        <f>SUM(H51:H62)</f>
        <v>3187938.6399999997</v>
      </c>
      <c r="I63" s="474"/>
      <c r="J63" s="43"/>
      <c r="K63" s="39"/>
    </row>
    <row r="64" spans="1:13" ht="21" customHeight="1">
      <c r="A64" s="69"/>
      <c r="B64" s="79"/>
      <c r="C64" s="417">
        <f>1691100+557900+1108650+559450+659850+615000+769150+657650-2250</f>
        <v>6616500</v>
      </c>
      <c r="D64" s="418"/>
      <c r="E64" s="44"/>
      <c r="F64" s="36" t="s">
        <v>76</v>
      </c>
      <c r="G64" s="37" t="s">
        <v>127</v>
      </c>
      <c r="H64" s="417">
        <f>495400+55000+105000+2250</f>
        <v>657650</v>
      </c>
      <c r="I64" s="418"/>
      <c r="J64" s="43"/>
      <c r="K64" s="39"/>
    </row>
    <row r="65" spans="1:12" ht="23.1" customHeight="1">
      <c r="A65" s="69"/>
      <c r="B65" s="79"/>
      <c r="C65" s="417">
        <f>23058.24+42300+7480.77+16369.01+14422.22+46591.53+17276.69+2071.83+3868.95+3372.95</f>
        <v>176812.19000000003</v>
      </c>
      <c r="D65" s="418"/>
      <c r="E65" s="44"/>
      <c r="F65" s="36" t="s">
        <v>65</v>
      </c>
      <c r="G65" s="37" t="s">
        <v>141</v>
      </c>
      <c r="H65" s="417">
        <f>'หมายเหตุ 2'!E12</f>
        <v>3372.95</v>
      </c>
      <c r="I65" s="418"/>
      <c r="J65" s="43"/>
      <c r="K65" s="39"/>
    </row>
    <row r="66" spans="1:12" ht="19.8" hidden="1">
      <c r="A66" s="85"/>
      <c r="B66" s="79"/>
      <c r="C66" s="417"/>
      <c r="D66" s="418"/>
      <c r="E66" s="44"/>
      <c r="F66" s="45" t="s">
        <v>64</v>
      </c>
      <c r="G66" s="38">
        <v>620</v>
      </c>
      <c r="H66" s="417"/>
      <c r="I66" s="418"/>
      <c r="J66" s="43"/>
      <c r="K66" s="39"/>
    </row>
    <row r="67" spans="1:12" ht="23.1" customHeight="1">
      <c r="A67" s="69"/>
      <c r="B67" s="79"/>
      <c r="C67" s="417">
        <f>5000+498000</f>
        <v>503000</v>
      </c>
      <c r="D67" s="418"/>
      <c r="E67" s="44"/>
      <c r="F67" s="36" t="s">
        <v>396</v>
      </c>
      <c r="G67" s="37" t="s">
        <v>398</v>
      </c>
      <c r="H67" s="417">
        <v>0</v>
      </c>
      <c r="I67" s="418"/>
      <c r="J67" s="43"/>
      <c r="K67" s="39"/>
    </row>
    <row r="68" spans="1:12" ht="23.1" customHeight="1">
      <c r="A68" s="69"/>
      <c r="B68" s="79"/>
      <c r="C68" s="417">
        <f>600</f>
        <v>600</v>
      </c>
      <c r="D68" s="418"/>
      <c r="E68" s="44"/>
      <c r="F68" s="36" t="s">
        <v>397</v>
      </c>
      <c r="G68" s="37" t="s">
        <v>399</v>
      </c>
      <c r="H68" s="417">
        <v>0</v>
      </c>
      <c r="I68" s="418"/>
      <c r="J68" s="43"/>
      <c r="K68" s="39"/>
    </row>
    <row r="69" spans="1:12" ht="23.1" customHeight="1">
      <c r="A69" s="69"/>
      <c r="B69" s="79"/>
      <c r="C69" s="417">
        <f>11400+28650+81600+105200+40480</f>
        <v>267330</v>
      </c>
      <c r="D69" s="418"/>
      <c r="E69" s="44"/>
      <c r="F69" s="44" t="s">
        <v>189</v>
      </c>
      <c r="G69" s="37" t="s">
        <v>128</v>
      </c>
      <c r="H69" s="417">
        <v>40480</v>
      </c>
      <c r="I69" s="418"/>
      <c r="J69" s="43"/>
      <c r="K69" s="39"/>
    </row>
    <row r="70" spans="1:12" ht="23.1" customHeight="1">
      <c r="A70" s="69"/>
      <c r="B70" s="79"/>
      <c r="C70" s="417">
        <f>105000+1229200+161800+106800+107250+105000+105000+107250+105000+105000</f>
        <v>2237300</v>
      </c>
      <c r="D70" s="418"/>
      <c r="E70" s="45"/>
      <c r="F70" s="45" t="s">
        <v>159</v>
      </c>
      <c r="G70" s="37" t="s">
        <v>169</v>
      </c>
      <c r="H70" s="417">
        <v>105000</v>
      </c>
      <c r="I70" s="418"/>
      <c r="J70" s="43"/>
      <c r="K70" s="39"/>
    </row>
    <row r="71" spans="1:12" ht="23.1" customHeight="1">
      <c r="A71" s="69"/>
      <c r="B71" s="79"/>
      <c r="C71" s="417">
        <v>568806</v>
      </c>
      <c r="D71" s="418"/>
      <c r="E71" s="45"/>
      <c r="F71" s="44" t="s">
        <v>14</v>
      </c>
      <c r="G71" s="37" t="s">
        <v>155</v>
      </c>
      <c r="H71" s="417">
        <v>0</v>
      </c>
      <c r="I71" s="418"/>
      <c r="J71" s="43"/>
      <c r="K71" s="39"/>
    </row>
    <row r="72" spans="1:12" ht="23.1" customHeight="1">
      <c r="A72" s="69"/>
      <c r="B72" s="79"/>
      <c r="C72" s="417">
        <f>7291+7291+7291+7291+7291</f>
        <v>36455</v>
      </c>
      <c r="D72" s="418"/>
      <c r="E72" s="45"/>
      <c r="F72" s="377" t="s">
        <v>407</v>
      </c>
      <c r="G72" s="37"/>
      <c r="H72" s="417">
        <v>7291</v>
      </c>
      <c r="I72" s="418"/>
      <c r="J72" s="43"/>
      <c r="K72" s="39"/>
    </row>
    <row r="73" spans="1:12" ht="23.1" customHeight="1">
      <c r="A73" s="69"/>
      <c r="B73" s="79"/>
      <c r="C73" s="417">
        <v>4000</v>
      </c>
      <c r="D73" s="418"/>
      <c r="E73" s="45"/>
      <c r="F73" s="393" t="s">
        <v>411</v>
      </c>
      <c r="G73" s="37"/>
      <c r="H73" s="417">
        <v>0</v>
      </c>
      <c r="I73" s="418"/>
      <c r="J73" s="43"/>
      <c r="K73" s="43"/>
    </row>
    <row r="74" spans="1:12" ht="19.8">
      <c r="A74" s="69"/>
      <c r="B74" s="79"/>
      <c r="C74" s="417">
        <v>0</v>
      </c>
      <c r="D74" s="418"/>
      <c r="E74" s="45"/>
      <c r="F74" s="45"/>
      <c r="G74" s="37"/>
      <c r="H74" s="417"/>
      <c r="I74" s="418"/>
      <c r="J74" s="43"/>
      <c r="K74" s="43"/>
    </row>
    <row r="75" spans="1:12" ht="19.8">
      <c r="A75" s="69"/>
      <c r="B75" s="79"/>
      <c r="C75" s="442">
        <v>0</v>
      </c>
      <c r="D75" s="443"/>
      <c r="E75" s="45"/>
      <c r="F75" s="45"/>
      <c r="G75" s="37"/>
      <c r="H75" s="442"/>
      <c r="I75" s="443"/>
      <c r="J75" s="43"/>
      <c r="K75" s="43"/>
    </row>
    <row r="76" spans="1:12" ht="21" customHeight="1">
      <c r="A76" s="69"/>
      <c r="B76" s="78"/>
      <c r="C76" s="473">
        <f>SUM(C64:D75)</f>
        <v>10410803.190000001</v>
      </c>
      <c r="D76" s="474"/>
      <c r="E76" s="45"/>
      <c r="F76" s="44"/>
      <c r="G76" s="37"/>
      <c r="H76" s="473">
        <f>SUM(H64:I75)</f>
        <v>813793.95</v>
      </c>
      <c r="I76" s="474"/>
      <c r="J76" s="43"/>
      <c r="K76" s="43"/>
    </row>
    <row r="77" spans="1:12" ht="17.100000000000001" customHeight="1" thickBot="1">
      <c r="A77" s="69"/>
      <c r="B77" s="78"/>
      <c r="C77" s="444">
        <f>C63+C76</f>
        <v>26925631.690000001</v>
      </c>
      <c r="D77" s="445"/>
      <c r="E77" s="476" t="s">
        <v>63</v>
      </c>
      <c r="F77" s="476"/>
      <c r="G77" s="37"/>
      <c r="H77" s="444">
        <f>+H63+H76</f>
        <v>4001732.59</v>
      </c>
      <c r="I77" s="445"/>
      <c r="J77" s="43"/>
      <c r="K77" s="43"/>
    </row>
    <row r="78" spans="1:12" ht="17.100000000000001" customHeight="1" thickTop="1">
      <c r="A78" s="69"/>
      <c r="B78" s="78"/>
      <c r="C78" s="417">
        <f>C46-C77</f>
        <v>10879289.010000002</v>
      </c>
      <c r="D78" s="418"/>
      <c r="E78" s="476" t="s">
        <v>62</v>
      </c>
      <c r="F78" s="476"/>
      <c r="G78" s="37"/>
      <c r="H78" s="417">
        <f>H46-H77</f>
        <v>-1053966.1199999996</v>
      </c>
      <c r="I78" s="418"/>
      <c r="J78" s="43"/>
      <c r="K78" s="43"/>
    </row>
    <row r="79" spans="1:12" ht="17.100000000000001" customHeight="1">
      <c r="A79" s="71"/>
      <c r="B79" s="81"/>
      <c r="C79" s="417"/>
      <c r="D79" s="418"/>
      <c r="E79" s="476" t="s">
        <v>61</v>
      </c>
      <c r="F79" s="476"/>
      <c r="G79" s="37"/>
      <c r="H79" s="407"/>
      <c r="I79" s="408"/>
      <c r="J79" s="43" t="s">
        <v>112</v>
      </c>
      <c r="K79" s="40">
        <v>34077666.329999998</v>
      </c>
    </row>
    <row r="80" spans="1:12" ht="17.100000000000001" customHeight="1">
      <c r="A80" s="71"/>
      <c r="B80" s="81"/>
      <c r="C80" s="417"/>
      <c r="D80" s="418"/>
      <c r="E80" s="476" t="s">
        <v>60</v>
      </c>
      <c r="F80" s="476"/>
      <c r="G80" s="37"/>
      <c r="H80" s="417"/>
      <c r="I80" s="418"/>
      <c r="J80" s="43" t="s">
        <v>15</v>
      </c>
      <c r="K80" s="40">
        <v>0</v>
      </c>
      <c r="L80" s="39">
        <f>SUM(K79:K80)</f>
        <v>34077666.329999998</v>
      </c>
    </row>
    <row r="81" spans="1:13" ht="17.100000000000001" customHeight="1" thickBot="1">
      <c r="A81" s="72"/>
      <c r="B81" s="82"/>
      <c r="C81" s="444">
        <f>C10+C46-C77</f>
        <v>34077666.329999998</v>
      </c>
      <c r="D81" s="445"/>
      <c r="E81" s="471" t="s">
        <v>59</v>
      </c>
      <c r="F81" s="472"/>
      <c r="G81" s="46"/>
      <c r="H81" s="444">
        <f>H10+H46-H77</f>
        <v>34077666.329999998</v>
      </c>
      <c r="I81" s="445"/>
      <c r="J81" s="100" t="s">
        <v>173</v>
      </c>
      <c r="K81" s="101">
        <f>C81-H81</f>
        <v>0</v>
      </c>
      <c r="L81" s="40"/>
      <c r="M81" s="40">
        <f>L80-H81</f>
        <v>0</v>
      </c>
    </row>
    <row r="82" spans="1:13" ht="10.5" customHeight="1" thickTop="1">
      <c r="A82" s="72"/>
      <c r="B82" s="82"/>
      <c r="C82" s="47"/>
      <c r="D82" s="47"/>
      <c r="E82" s="33"/>
      <c r="F82" s="33"/>
      <c r="G82" s="48"/>
      <c r="H82" s="47"/>
      <c r="I82" s="47"/>
      <c r="J82" s="43"/>
      <c r="K82" s="43"/>
    </row>
    <row r="83" spans="1:13" s="66" customFormat="1" ht="15.9" customHeight="1">
      <c r="A83" s="92"/>
      <c r="C83" s="65"/>
      <c r="E83" s="64"/>
      <c r="F83" s="64"/>
    </row>
    <row r="84" spans="1:13" s="66" customFormat="1" ht="21.75" customHeight="1">
      <c r="A84" s="65" t="s">
        <v>174</v>
      </c>
      <c r="D84" s="65" t="s">
        <v>167</v>
      </c>
      <c r="F84" s="64"/>
      <c r="G84" s="354" t="s">
        <v>375</v>
      </c>
      <c r="H84" s="93"/>
    </row>
    <row r="85" spans="1:13" s="66" customFormat="1" ht="18" customHeight="1">
      <c r="A85" s="475" t="s">
        <v>410</v>
      </c>
      <c r="B85" s="475"/>
      <c r="C85" s="65" t="s">
        <v>161</v>
      </c>
      <c r="E85" s="91"/>
      <c r="F85" s="91"/>
      <c r="G85" s="354" t="s">
        <v>57</v>
      </c>
    </row>
    <row r="86" spans="1:13" s="66" customFormat="1" ht="11.25" customHeight="1">
      <c r="E86" s="64"/>
      <c r="F86" s="64"/>
      <c r="G86" s="342"/>
    </row>
  </sheetData>
  <mergeCells count="175">
    <mergeCell ref="C81:D81"/>
    <mergeCell ref="E81:F81"/>
    <mergeCell ref="H81:I81"/>
    <mergeCell ref="A85:B85"/>
    <mergeCell ref="H75:I75"/>
    <mergeCell ref="C75:D75"/>
    <mergeCell ref="C79:D79"/>
    <mergeCell ref="E79:F79"/>
    <mergeCell ref="H79:I79"/>
    <mergeCell ref="C80:D80"/>
    <mergeCell ref="E80:F80"/>
    <mergeCell ref="H80:I80"/>
    <mergeCell ref="C77:D77"/>
    <mergeCell ref="E77:F77"/>
    <mergeCell ref="H77:I77"/>
    <mergeCell ref="C78:D78"/>
    <mergeCell ref="E78:F78"/>
    <mergeCell ref="H78:I78"/>
    <mergeCell ref="C76:D76"/>
    <mergeCell ref="H76:I76"/>
    <mergeCell ref="C73:D73"/>
    <mergeCell ref="H73:I73"/>
    <mergeCell ref="C74:D74"/>
    <mergeCell ref="H74:I74"/>
    <mergeCell ref="C63:D63"/>
    <mergeCell ref="H63:I63"/>
    <mergeCell ref="C64:D64"/>
    <mergeCell ref="H64:I64"/>
    <mergeCell ref="C65:D65"/>
    <mergeCell ref="H65:I65"/>
    <mergeCell ref="C70:D70"/>
    <mergeCell ref="H70:I70"/>
    <mergeCell ref="C71:D71"/>
    <mergeCell ref="H71:I71"/>
    <mergeCell ref="C72:D72"/>
    <mergeCell ref="H72:I72"/>
    <mergeCell ref="C66:D66"/>
    <mergeCell ref="H66:I66"/>
    <mergeCell ref="C67:D67"/>
    <mergeCell ref="H67:I67"/>
    <mergeCell ref="C68:D68"/>
    <mergeCell ref="H68:I68"/>
    <mergeCell ref="C69:D69"/>
    <mergeCell ref="H69:I69"/>
    <mergeCell ref="C60:D60"/>
    <mergeCell ref="H60:I60"/>
    <mergeCell ref="C61:D61"/>
    <mergeCell ref="H61:I61"/>
    <mergeCell ref="C62:D62"/>
    <mergeCell ref="H62:I62"/>
    <mergeCell ref="C57:D57"/>
    <mergeCell ref="H57:I57"/>
    <mergeCell ref="C58:D58"/>
    <mergeCell ref="H58:I58"/>
    <mergeCell ref="C59:D59"/>
    <mergeCell ref="H59:I59"/>
    <mergeCell ref="C53:D53"/>
    <mergeCell ref="H53:I53"/>
    <mergeCell ref="C55:D55"/>
    <mergeCell ref="H55:I55"/>
    <mergeCell ref="C56:D56"/>
    <mergeCell ref="H56:I56"/>
    <mergeCell ref="H50:I50"/>
    <mergeCell ref="C51:D51"/>
    <mergeCell ref="H51:I51"/>
    <mergeCell ref="C52:D52"/>
    <mergeCell ref="H52:I52"/>
    <mergeCell ref="H54:I54"/>
    <mergeCell ref="C54:D54"/>
    <mergeCell ref="L52:M52"/>
    <mergeCell ref="A47:D47"/>
    <mergeCell ref="E47:F49"/>
    <mergeCell ref="G47:G49"/>
    <mergeCell ref="H47:I47"/>
    <mergeCell ref="A48:B48"/>
    <mergeCell ref="C48:D48"/>
    <mergeCell ref="H48:I48"/>
    <mergeCell ref="A49:B49"/>
    <mergeCell ref="C49:D49"/>
    <mergeCell ref="H49:I49"/>
    <mergeCell ref="C44:D44"/>
    <mergeCell ref="H44:I44"/>
    <mergeCell ref="C45:D45"/>
    <mergeCell ref="E45:F45"/>
    <mergeCell ref="H45:I45"/>
    <mergeCell ref="C46:D46"/>
    <mergeCell ref="E46:F46"/>
    <mergeCell ref="H46:I46"/>
    <mergeCell ref="C41:D41"/>
    <mergeCell ref="E41:F41"/>
    <mergeCell ref="H41:I41"/>
    <mergeCell ref="C42:D42"/>
    <mergeCell ref="H42:I42"/>
    <mergeCell ref="C43:D43"/>
    <mergeCell ref="H43:I43"/>
    <mergeCell ref="C39:D39"/>
    <mergeCell ref="E39:F39"/>
    <mergeCell ref="H39:I39"/>
    <mergeCell ref="C40:D40"/>
    <mergeCell ref="E40:F40"/>
    <mergeCell ref="H40:I40"/>
    <mergeCell ref="C30:D30"/>
    <mergeCell ref="H30:I30"/>
    <mergeCell ref="C31:D31"/>
    <mergeCell ref="H31:I31"/>
    <mergeCell ref="C35:D35"/>
    <mergeCell ref="H35:I35"/>
    <mergeCell ref="H32:I32"/>
    <mergeCell ref="C32:D32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37" zoomScale="120" zoomScaleNormal="120" workbookViewId="0">
      <selection activeCell="B47" sqref="B47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</row>
    <row r="2" spans="1:12" ht="20.399999999999999">
      <c r="A2" s="495" t="s">
        <v>400</v>
      </c>
      <c r="B2" s="495"/>
      <c r="C2" s="495"/>
      <c r="D2" s="495"/>
      <c r="E2" s="495"/>
      <c r="F2" s="495"/>
      <c r="G2" s="495"/>
      <c r="H2" s="495"/>
      <c r="I2" s="495"/>
      <c r="J2" s="495"/>
    </row>
    <row r="3" spans="1:12" ht="20.399999999999999">
      <c r="A3" s="496" t="s">
        <v>422</v>
      </c>
      <c r="B3" s="496"/>
      <c r="C3" s="496"/>
      <c r="D3" s="496"/>
      <c r="E3" s="496"/>
      <c r="F3" s="496"/>
      <c r="G3" s="496"/>
      <c r="H3" s="496"/>
      <c r="I3" s="496"/>
      <c r="J3" s="496"/>
    </row>
    <row r="4" spans="1:12" ht="20.399999999999999">
      <c r="A4" s="497" t="s">
        <v>1</v>
      </c>
      <c r="B4" s="498"/>
      <c r="C4" s="498"/>
      <c r="D4" s="498"/>
      <c r="E4" s="499"/>
      <c r="F4" s="56" t="s">
        <v>2</v>
      </c>
      <c r="G4" s="500" t="s">
        <v>3</v>
      </c>
      <c r="H4" s="501"/>
      <c r="I4" s="500" t="s">
        <v>4</v>
      </c>
      <c r="J4" s="501"/>
    </row>
    <row r="5" spans="1:12" ht="21">
      <c r="A5" s="480" t="s">
        <v>15</v>
      </c>
      <c r="B5" s="481"/>
      <c r="C5" s="481"/>
      <c r="D5" s="481"/>
      <c r="E5" s="482"/>
      <c r="F5" s="94" t="s">
        <v>144</v>
      </c>
      <c r="G5" s="488">
        <v>0</v>
      </c>
      <c r="H5" s="488"/>
      <c r="I5" s="489"/>
      <c r="J5" s="489"/>
    </row>
    <row r="6" spans="1:12" ht="21">
      <c r="A6" s="490" t="s">
        <v>176</v>
      </c>
      <c r="B6" s="491"/>
      <c r="C6" s="491"/>
      <c r="D6" s="491"/>
      <c r="E6" s="492"/>
      <c r="F6" s="94" t="s">
        <v>145</v>
      </c>
      <c r="G6" s="493">
        <v>89785.67</v>
      </c>
      <c r="H6" s="494"/>
      <c r="I6" s="493"/>
      <c r="J6" s="494"/>
    </row>
    <row r="7" spans="1:12" ht="21">
      <c r="A7" s="490" t="s">
        <v>177</v>
      </c>
      <c r="B7" s="491"/>
      <c r="C7" s="491"/>
      <c r="D7" s="491"/>
      <c r="E7" s="492"/>
      <c r="F7" s="94"/>
      <c r="G7" s="478">
        <v>1240832.54</v>
      </c>
      <c r="H7" s="479"/>
      <c r="I7" s="478"/>
      <c r="J7" s="479"/>
    </row>
    <row r="8" spans="1:12" ht="21">
      <c r="A8" s="490" t="s">
        <v>178</v>
      </c>
      <c r="B8" s="491"/>
      <c r="C8" s="491"/>
      <c r="D8" s="491"/>
      <c r="E8" s="492"/>
      <c r="F8" s="94"/>
      <c r="G8" s="478">
        <v>14497003.800000001</v>
      </c>
      <c r="H8" s="479"/>
      <c r="I8" s="478"/>
      <c r="J8" s="479"/>
    </row>
    <row r="9" spans="1:12" ht="21">
      <c r="A9" s="480" t="s">
        <v>179</v>
      </c>
      <c r="B9" s="481"/>
      <c r="C9" s="481"/>
      <c r="D9" s="481"/>
      <c r="E9" s="482"/>
      <c r="F9" s="94" t="s">
        <v>146</v>
      </c>
      <c r="G9" s="478">
        <v>3413161.56</v>
      </c>
      <c r="H9" s="479"/>
      <c r="I9" s="478"/>
      <c r="J9" s="479"/>
    </row>
    <row r="10" spans="1:12" ht="21">
      <c r="A10" s="480" t="s">
        <v>180</v>
      </c>
      <c r="B10" s="481"/>
      <c r="C10" s="481"/>
      <c r="D10" s="481"/>
      <c r="E10" s="482"/>
      <c r="F10" s="94"/>
      <c r="G10" s="478">
        <v>781357.26</v>
      </c>
      <c r="H10" s="479"/>
      <c r="I10" s="478"/>
      <c r="J10" s="479"/>
    </row>
    <row r="11" spans="1:12" ht="21">
      <c r="A11" s="119" t="s">
        <v>185</v>
      </c>
      <c r="B11" s="120"/>
      <c r="C11" s="120"/>
      <c r="D11" s="120"/>
      <c r="E11" s="121"/>
      <c r="F11" s="94"/>
      <c r="G11" s="483">
        <v>14055525.5</v>
      </c>
      <c r="H11" s="484"/>
      <c r="I11" s="116"/>
      <c r="J11" s="117"/>
      <c r="L11" s="112">
        <f>SUM(G6:H11)</f>
        <v>34077666.329999998</v>
      </c>
    </row>
    <row r="12" spans="1:12" ht="21">
      <c r="A12" s="480" t="s">
        <v>405</v>
      </c>
      <c r="B12" s="481"/>
      <c r="C12" s="481"/>
      <c r="D12" s="481"/>
      <c r="E12" s="482"/>
      <c r="F12" s="94" t="s">
        <v>147</v>
      </c>
      <c r="G12" s="483">
        <f>110760-858.85-1965.12-56.96-8096.33-1504.99-2759-1124.07-385.37-689.75-896.23</f>
        <v>92423.329999999987</v>
      </c>
      <c r="H12" s="484"/>
      <c r="I12" s="483"/>
      <c r="J12" s="484"/>
    </row>
    <row r="13" spans="1:12" ht="21">
      <c r="A13" s="485" t="s">
        <v>379</v>
      </c>
      <c r="B13" s="486"/>
      <c r="C13" s="486"/>
      <c r="D13" s="486"/>
      <c r="E13" s="487"/>
      <c r="F13" s="94" t="s">
        <v>148</v>
      </c>
      <c r="G13" s="478">
        <f>108145-4390-6895-2790-1085-75-2045-340</f>
        <v>90525</v>
      </c>
      <c r="H13" s="479"/>
      <c r="I13" s="478"/>
      <c r="J13" s="479"/>
    </row>
    <row r="14" spans="1:12" ht="21">
      <c r="A14" s="477" t="s">
        <v>13</v>
      </c>
      <c r="B14" s="477"/>
      <c r="C14" s="477"/>
      <c r="D14" s="477"/>
      <c r="E14" s="477"/>
      <c r="F14" s="94" t="s">
        <v>128</v>
      </c>
      <c r="G14" s="478">
        <f>11400-11400+28650+81600-110250+105200-105200+40480</f>
        <v>40480</v>
      </c>
      <c r="H14" s="479"/>
      <c r="I14" s="478"/>
      <c r="J14" s="479"/>
    </row>
    <row r="15" spans="1:12" ht="21">
      <c r="A15" s="477" t="s">
        <v>190</v>
      </c>
      <c r="B15" s="477"/>
      <c r="C15" s="477"/>
      <c r="D15" s="477"/>
      <c r="E15" s="477"/>
      <c r="F15" s="94" t="s">
        <v>169</v>
      </c>
      <c r="G15" s="483">
        <f>105000+105000-105000+107250-212250+105000-105000+105000</f>
        <v>105000</v>
      </c>
      <c r="H15" s="484"/>
      <c r="I15" s="123"/>
      <c r="J15" s="124"/>
    </row>
    <row r="16" spans="1:12" ht="21">
      <c r="A16" s="477" t="s">
        <v>154</v>
      </c>
      <c r="B16" s="477"/>
      <c r="C16" s="477"/>
      <c r="D16" s="477"/>
      <c r="E16" s="477"/>
      <c r="F16" s="94"/>
      <c r="G16" s="478">
        <f>113000-16000-21000</f>
        <v>76000</v>
      </c>
      <c r="H16" s="479"/>
      <c r="I16" s="116"/>
      <c r="J16" s="117"/>
    </row>
    <row r="17" spans="1:10" ht="21">
      <c r="A17" s="480" t="s">
        <v>6</v>
      </c>
      <c r="B17" s="481"/>
      <c r="C17" s="481"/>
      <c r="D17" s="481"/>
      <c r="E17" s="482"/>
      <c r="F17" s="94" t="s">
        <v>192</v>
      </c>
      <c r="G17" s="483">
        <v>505771.7</v>
      </c>
      <c r="H17" s="484"/>
      <c r="I17" s="123"/>
      <c r="J17" s="124"/>
    </row>
    <row r="18" spans="1:10" ht="21">
      <c r="A18" s="480" t="s">
        <v>130</v>
      </c>
      <c r="B18" s="481"/>
      <c r="C18" s="481"/>
      <c r="D18" s="481"/>
      <c r="E18" s="482"/>
      <c r="F18" s="94" t="s">
        <v>132</v>
      </c>
      <c r="G18" s="483">
        <v>1710600</v>
      </c>
      <c r="H18" s="484"/>
      <c r="I18" s="123"/>
      <c r="J18" s="124"/>
    </row>
    <row r="19" spans="1:10" ht="21">
      <c r="A19" s="480" t="s">
        <v>131</v>
      </c>
      <c r="B19" s="481"/>
      <c r="C19" s="481"/>
      <c r="D19" s="481"/>
      <c r="E19" s="482"/>
      <c r="F19" s="94" t="s">
        <v>133</v>
      </c>
      <c r="G19" s="483">
        <v>3125988.61</v>
      </c>
      <c r="H19" s="484"/>
      <c r="I19" s="123"/>
      <c r="J19" s="124"/>
    </row>
    <row r="20" spans="1:10" ht="21">
      <c r="A20" s="480" t="s">
        <v>195</v>
      </c>
      <c r="B20" s="481"/>
      <c r="C20" s="481"/>
      <c r="D20" s="481"/>
      <c r="E20" s="482"/>
      <c r="F20" s="94" t="s">
        <v>133</v>
      </c>
      <c r="G20" s="483">
        <v>1008000</v>
      </c>
      <c r="H20" s="484"/>
      <c r="I20" s="123"/>
      <c r="J20" s="124"/>
    </row>
    <row r="21" spans="1:10" ht="21">
      <c r="A21" s="480" t="s">
        <v>7</v>
      </c>
      <c r="B21" s="481"/>
      <c r="C21" s="481"/>
      <c r="D21" s="481"/>
      <c r="E21" s="482"/>
      <c r="F21" s="94" t="s">
        <v>134</v>
      </c>
      <c r="G21" s="483">
        <v>293455</v>
      </c>
      <c r="H21" s="484"/>
      <c r="I21" s="123"/>
      <c r="J21" s="124"/>
    </row>
    <row r="22" spans="1:10" ht="21">
      <c r="A22" s="480" t="s">
        <v>8</v>
      </c>
      <c r="B22" s="481"/>
      <c r="C22" s="481"/>
      <c r="D22" s="481"/>
      <c r="E22" s="482"/>
      <c r="F22" s="94" t="s">
        <v>135</v>
      </c>
      <c r="G22" s="483">
        <v>2417486.13</v>
      </c>
      <c r="H22" s="484"/>
      <c r="I22" s="123"/>
      <c r="J22" s="124"/>
    </row>
    <row r="23" spans="1:10" ht="21">
      <c r="A23" s="480" t="s">
        <v>9</v>
      </c>
      <c r="B23" s="481"/>
      <c r="C23" s="481"/>
      <c r="D23" s="481"/>
      <c r="E23" s="482"/>
      <c r="F23" s="94" t="s">
        <v>136</v>
      </c>
      <c r="G23" s="483">
        <v>1330703.3500000001</v>
      </c>
      <c r="H23" s="484"/>
      <c r="I23" s="123"/>
      <c r="J23" s="124"/>
    </row>
    <row r="24" spans="1:10" ht="21">
      <c r="A24" s="480" t="s">
        <v>10</v>
      </c>
      <c r="B24" s="481"/>
      <c r="C24" s="481"/>
      <c r="D24" s="481"/>
      <c r="E24" s="482"/>
      <c r="F24" s="94" t="s">
        <v>137</v>
      </c>
      <c r="G24" s="483">
        <v>746514.61</v>
      </c>
      <c r="H24" s="484"/>
      <c r="I24" s="123"/>
      <c r="J24" s="124"/>
    </row>
    <row r="25" spans="1:10" ht="21">
      <c r="A25" s="480" t="s">
        <v>12</v>
      </c>
      <c r="B25" s="481"/>
      <c r="C25" s="481"/>
      <c r="D25" s="481"/>
      <c r="E25" s="482"/>
      <c r="F25" s="94" t="s">
        <v>138</v>
      </c>
      <c r="G25" s="483">
        <v>245580.1</v>
      </c>
      <c r="H25" s="484"/>
      <c r="I25" s="123"/>
      <c r="J25" s="124"/>
    </row>
    <row r="26" spans="1:10" ht="21">
      <c r="A26" s="480" t="s">
        <v>56</v>
      </c>
      <c r="B26" s="481"/>
      <c r="C26" s="481"/>
      <c r="D26" s="481"/>
      <c r="E26" s="482"/>
      <c r="F26" s="94" t="s">
        <v>193</v>
      </c>
      <c r="G26" s="483">
        <v>2432729</v>
      </c>
      <c r="H26" s="484"/>
      <c r="I26" s="123"/>
      <c r="J26" s="124"/>
    </row>
    <row r="27" spans="1:10" ht="21">
      <c r="A27" s="485" t="s">
        <v>191</v>
      </c>
      <c r="B27" s="486"/>
      <c r="C27" s="486"/>
      <c r="D27" s="486"/>
      <c r="E27" s="487"/>
      <c r="F27" s="94" t="s">
        <v>140</v>
      </c>
      <c r="G27" s="483">
        <v>0</v>
      </c>
      <c r="H27" s="484"/>
      <c r="I27" s="123"/>
      <c r="J27" s="124"/>
    </row>
    <row r="28" spans="1:10" ht="21">
      <c r="A28" s="480" t="s">
        <v>11</v>
      </c>
      <c r="B28" s="481"/>
      <c r="C28" s="481"/>
      <c r="D28" s="481"/>
      <c r="E28" s="482"/>
      <c r="F28" s="94" t="s">
        <v>194</v>
      </c>
      <c r="G28" s="483">
        <v>2698000</v>
      </c>
      <c r="H28" s="484"/>
      <c r="I28" s="123"/>
      <c r="J28" s="124"/>
    </row>
    <row r="29" spans="1:10" ht="21">
      <c r="A29" s="480" t="s">
        <v>76</v>
      </c>
      <c r="B29" s="481"/>
      <c r="C29" s="481"/>
      <c r="D29" s="481"/>
      <c r="E29" s="482"/>
      <c r="F29" s="94"/>
      <c r="G29" s="483">
        <v>6616500</v>
      </c>
      <c r="H29" s="484"/>
      <c r="I29" s="123"/>
      <c r="J29" s="124"/>
    </row>
    <row r="30" spans="1:10" ht="21">
      <c r="A30" s="480" t="s">
        <v>14</v>
      </c>
      <c r="B30" s="481"/>
      <c r="C30" s="481"/>
      <c r="D30" s="481"/>
      <c r="E30" s="482"/>
      <c r="F30" s="94" t="s">
        <v>143</v>
      </c>
      <c r="G30" s="478"/>
      <c r="H30" s="479"/>
      <c r="I30" s="478">
        <f>12015235.92+300+130065.07+450-568806+0.01</f>
        <v>11577245</v>
      </c>
      <c r="J30" s="479"/>
    </row>
    <row r="31" spans="1:10" ht="21">
      <c r="A31" s="480" t="s">
        <v>16</v>
      </c>
      <c r="B31" s="481"/>
      <c r="C31" s="481"/>
      <c r="D31" s="481"/>
      <c r="E31" s="482"/>
      <c r="F31" s="94" t="s">
        <v>149</v>
      </c>
      <c r="G31" s="478"/>
      <c r="H31" s="479"/>
      <c r="I31" s="478">
        <f>8760466.84</f>
        <v>8760466.8399999999</v>
      </c>
      <c r="J31" s="479"/>
    </row>
    <row r="32" spans="1:10" ht="21">
      <c r="A32" s="362" t="s">
        <v>387</v>
      </c>
      <c r="B32" s="114"/>
      <c r="C32" s="114"/>
      <c r="D32" s="114"/>
      <c r="E32" s="115"/>
      <c r="F32" s="94" t="s">
        <v>142</v>
      </c>
      <c r="G32" s="483"/>
      <c r="H32" s="484"/>
      <c r="I32" s="483">
        <v>5</v>
      </c>
      <c r="J32" s="484"/>
    </row>
    <row r="33" spans="1:12" ht="21">
      <c r="A33" s="362" t="s">
        <v>397</v>
      </c>
      <c r="B33" s="114"/>
      <c r="C33" s="114"/>
      <c r="D33" s="114"/>
      <c r="E33" s="115"/>
      <c r="F33" s="94" t="s">
        <v>399</v>
      </c>
      <c r="G33" s="483"/>
      <c r="H33" s="484"/>
      <c r="I33" s="483">
        <v>980000</v>
      </c>
      <c r="J33" s="484"/>
    </row>
    <row r="34" spans="1:12" ht="21">
      <c r="A34" s="480" t="s">
        <v>378</v>
      </c>
      <c r="B34" s="481"/>
      <c r="C34" s="481"/>
      <c r="D34" s="481"/>
      <c r="E34" s="482"/>
      <c r="F34" s="94"/>
      <c r="G34" s="478"/>
      <c r="H34" s="479"/>
      <c r="I34" s="478">
        <v>850066.26</v>
      </c>
      <c r="J34" s="479"/>
    </row>
    <row r="35" spans="1:12" ht="21">
      <c r="A35" s="480" t="s">
        <v>284</v>
      </c>
      <c r="B35" s="481"/>
      <c r="C35" s="481"/>
      <c r="D35" s="481"/>
      <c r="E35" s="482"/>
      <c r="F35" s="94" t="s">
        <v>196</v>
      </c>
      <c r="G35" s="123"/>
      <c r="H35" s="124"/>
      <c r="I35" s="483">
        <f>1245446.26+1365525.15+16179055.76+2407562.11+3157045.77+3216749.01+2314713.55+121250+652266.99+1424811.95+322550+2682939.54+15361</f>
        <v>35105277.090000004</v>
      </c>
      <c r="J35" s="484"/>
    </row>
    <row r="36" spans="1:12" ht="21">
      <c r="A36" s="480" t="s">
        <v>17</v>
      </c>
      <c r="B36" s="481"/>
      <c r="C36" s="481" t="s">
        <v>18</v>
      </c>
      <c r="D36" s="481"/>
      <c r="E36" s="482"/>
      <c r="F36" s="94" t="s">
        <v>150</v>
      </c>
      <c r="G36" s="478"/>
      <c r="H36" s="479"/>
      <c r="I36" s="478">
        <v>22837.39</v>
      </c>
      <c r="J36" s="479"/>
    </row>
    <row r="37" spans="1:12" ht="21">
      <c r="A37" s="480"/>
      <c r="B37" s="481"/>
      <c r="C37" s="481" t="s">
        <v>19</v>
      </c>
      <c r="D37" s="481"/>
      <c r="E37" s="482"/>
      <c r="F37" s="94" t="s">
        <v>151</v>
      </c>
      <c r="G37" s="478"/>
      <c r="H37" s="479"/>
      <c r="I37" s="478">
        <v>304853</v>
      </c>
      <c r="J37" s="479"/>
    </row>
    <row r="38" spans="1:12" ht="21">
      <c r="A38" s="480"/>
      <c r="B38" s="481"/>
      <c r="C38" s="481" t="s">
        <v>20</v>
      </c>
      <c r="D38" s="481"/>
      <c r="E38" s="482"/>
      <c r="F38" s="94" t="s">
        <v>153</v>
      </c>
      <c r="G38" s="478"/>
      <c r="H38" s="479"/>
      <c r="I38" s="504">
        <v>1650.8</v>
      </c>
      <c r="J38" s="505"/>
    </row>
    <row r="39" spans="1:12" ht="21">
      <c r="A39" s="113"/>
      <c r="B39" s="114"/>
      <c r="C39" s="481" t="s">
        <v>21</v>
      </c>
      <c r="D39" s="481"/>
      <c r="E39" s="482"/>
      <c r="F39" s="94" t="s">
        <v>152</v>
      </c>
      <c r="G39" s="478"/>
      <c r="H39" s="479"/>
      <c r="I39" s="478">
        <v>1980.78</v>
      </c>
      <c r="J39" s="479"/>
    </row>
    <row r="40" spans="1:12" ht="21">
      <c r="A40" s="372"/>
      <c r="B40" s="373"/>
      <c r="C40" s="373" t="s">
        <v>409</v>
      </c>
      <c r="D40" s="373"/>
      <c r="E40" s="373"/>
      <c r="F40" s="94"/>
      <c r="G40" s="374"/>
      <c r="H40" s="375"/>
      <c r="I40" s="374"/>
      <c r="J40" s="375">
        <v>7291</v>
      </c>
    </row>
    <row r="41" spans="1:12" ht="21">
      <c r="A41" s="401"/>
      <c r="B41" s="402"/>
      <c r="C41" s="402" t="s">
        <v>423</v>
      </c>
      <c r="D41" s="402"/>
      <c r="E41" s="403"/>
      <c r="F41" s="94"/>
      <c r="G41" s="404"/>
      <c r="H41" s="405"/>
      <c r="I41" s="404"/>
      <c r="J41" s="405">
        <v>1750</v>
      </c>
    </row>
    <row r="42" spans="1:12" ht="21.6" thickBot="1">
      <c r="A42" s="95"/>
      <c r="B42" s="95"/>
      <c r="C42" s="95"/>
      <c r="D42" s="95"/>
      <c r="E42" s="95"/>
      <c r="F42" s="96"/>
      <c r="G42" s="502">
        <f>SUM(G5:H39)</f>
        <v>57613423.160000004</v>
      </c>
      <c r="H42" s="503"/>
      <c r="I42" s="502">
        <f>SUM(I30:J41)</f>
        <v>57613423.160000004</v>
      </c>
      <c r="J42" s="503"/>
      <c r="L42" s="112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">
      <c r="A44" s="65" t="s">
        <v>170</v>
      </c>
      <c r="B44" s="66"/>
      <c r="C44" s="66"/>
      <c r="D44" s="65" t="s">
        <v>168</v>
      </c>
      <c r="E44" s="66"/>
      <c r="F44" s="118"/>
      <c r="G44" s="66"/>
      <c r="H44" s="93"/>
      <c r="I44" s="355" t="s">
        <v>375</v>
      </c>
      <c r="J44" s="66"/>
    </row>
    <row r="45" spans="1:12" ht="21">
      <c r="A45" s="475" t="s">
        <v>385</v>
      </c>
      <c r="B45" s="475"/>
      <c r="C45" s="65"/>
      <c r="D45" s="65" t="s">
        <v>160</v>
      </c>
      <c r="E45" s="91"/>
      <c r="F45" s="91"/>
      <c r="G45" s="66"/>
      <c r="H45" s="66"/>
      <c r="I45" s="355" t="s">
        <v>57</v>
      </c>
      <c r="J45" s="66"/>
    </row>
    <row r="46" spans="1:12" ht="21">
      <c r="A46" s="57"/>
      <c r="B46" s="57"/>
      <c r="C46" s="57"/>
      <c r="D46" s="57"/>
      <c r="E46" s="57"/>
      <c r="F46" s="57"/>
      <c r="G46" s="57"/>
      <c r="H46" s="57"/>
      <c r="I46" s="342"/>
      <c r="J46" s="57"/>
    </row>
  </sheetData>
  <mergeCells count="97">
    <mergeCell ref="I39:J39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G21:H21"/>
    <mergeCell ref="G22:H22"/>
    <mergeCell ref="G23:H23"/>
    <mergeCell ref="A45:B45"/>
    <mergeCell ref="C39:E39"/>
    <mergeCell ref="G39:H39"/>
    <mergeCell ref="C38:E38"/>
    <mergeCell ref="G38:H38"/>
    <mergeCell ref="G42:H42"/>
    <mergeCell ref="G32:H32"/>
    <mergeCell ref="I32:J32"/>
    <mergeCell ref="G33:H33"/>
    <mergeCell ref="I33:J33"/>
    <mergeCell ref="A31:E31"/>
    <mergeCell ref="G31:H31"/>
    <mergeCell ref="A26:E26"/>
    <mergeCell ref="A27:E27"/>
    <mergeCell ref="A28:E28"/>
    <mergeCell ref="A29:E29"/>
    <mergeCell ref="I31:J31"/>
    <mergeCell ref="A30:E30"/>
    <mergeCell ref="G30:H30"/>
    <mergeCell ref="I30:J30"/>
    <mergeCell ref="G29:H29"/>
    <mergeCell ref="I42:J42"/>
    <mergeCell ref="A34:E34"/>
    <mergeCell ref="G34:H34"/>
    <mergeCell ref="I34:J34"/>
    <mergeCell ref="A36:B36"/>
    <mergeCell ref="C36:E36"/>
    <mergeCell ref="G36:H36"/>
    <mergeCell ref="I36:J36"/>
    <mergeCell ref="A35:E35"/>
    <mergeCell ref="I35:J35"/>
    <mergeCell ref="A37:B37"/>
    <mergeCell ref="C37:E37"/>
    <mergeCell ref="G37:H37"/>
    <mergeCell ref="I37:J37"/>
    <mergeCell ref="A38:B38"/>
    <mergeCell ref="I38:J38"/>
    <mergeCell ref="G20:H20"/>
    <mergeCell ref="G25:H25"/>
    <mergeCell ref="G26:H26"/>
    <mergeCell ref="G27:H27"/>
    <mergeCell ref="G28:H28"/>
    <mergeCell ref="G24:H24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16" workbookViewId="0">
      <selection activeCell="C24" sqref="C24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506" t="s">
        <v>171</v>
      </c>
      <c r="B1" s="506"/>
      <c r="C1" s="506"/>
      <c r="D1" s="506"/>
      <c r="E1" s="506"/>
      <c r="F1" s="506"/>
    </row>
    <row r="2" spans="1:6">
      <c r="A2" s="506" t="s">
        <v>416</v>
      </c>
      <c r="B2" s="506"/>
      <c r="C2" s="506"/>
      <c r="D2" s="506"/>
      <c r="E2" s="506"/>
      <c r="F2" s="506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3372.95</v>
      </c>
      <c r="D4" s="104">
        <v>22837.39</v>
      </c>
      <c r="E4" s="104">
        <v>3372.95</v>
      </c>
      <c r="F4" s="104">
        <f t="shared" ref="F4:F9" si="0">C4+D4-E4</f>
        <v>22837.39</v>
      </c>
    </row>
    <row r="5" spans="1:6">
      <c r="A5" s="102" t="s">
        <v>51</v>
      </c>
      <c r="B5" s="103">
        <v>230108</v>
      </c>
      <c r="C5" s="104">
        <v>298858</v>
      </c>
      <c r="D5" s="104">
        <v>5995</v>
      </c>
      <c r="E5" s="104">
        <v>0</v>
      </c>
      <c r="F5" s="104">
        <f t="shared" si="0"/>
        <v>304853</v>
      </c>
    </row>
    <row r="6" spans="1:6">
      <c r="A6" s="102" t="s">
        <v>52</v>
      </c>
      <c r="B6" s="103">
        <v>230105</v>
      </c>
      <c r="C6" s="104">
        <v>1579.75</v>
      </c>
      <c r="D6" s="104">
        <v>71.05</v>
      </c>
      <c r="E6" s="104">
        <v>0</v>
      </c>
      <c r="F6" s="104">
        <f t="shared" si="0"/>
        <v>1650.8</v>
      </c>
    </row>
    <row r="7" spans="1:6">
      <c r="A7" s="102" t="s">
        <v>172</v>
      </c>
      <c r="B7" s="103">
        <v>230106</v>
      </c>
      <c r="C7" s="104">
        <v>1895.52</v>
      </c>
      <c r="D7" s="104">
        <v>85.26</v>
      </c>
      <c r="E7" s="104">
        <v>0</v>
      </c>
      <c r="F7" s="104">
        <f t="shared" si="0"/>
        <v>1980.78</v>
      </c>
    </row>
    <row r="8" spans="1:6">
      <c r="A8" s="102" t="s">
        <v>53</v>
      </c>
      <c r="B8" s="103" t="s">
        <v>5</v>
      </c>
      <c r="C8" s="104">
        <v>850066.26</v>
      </c>
      <c r="D8" s="104">
        <v>0</v>
      </c>
      <c r="E8" s="104">
        <v>0</v>
      </c>
      <c r="F8" s="104">
        <f t="shared" si="0"/>
        <v>850066.26</v>
      </c>
    </row>
    <row r="9" spans="1:6">
      <c r="A9" s="102" t="s">
        <v>421</v>
      </c>
      <c r="B9" s="102"/>
      <c r="C9" s="104">
        <v>0</v>
      </c>
      <c r="D9" s="104">
        <v>1750</v>
      </c>
      <c r="E9" s="104">
        <v>0</v>
      </c>
      <c r="F9" s="104">
        <f t="shared" si="0"/>
        <v>1750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1155772.48</v>
      </c>
      <c r="D12" s="107">
        <f>SUM(D4:D11)</f>
        <v>30738.699999999997</v>
      </c>
      <c r="E12" s="107">
        <f>SUM(E4:E11)</f>
        <v>3372.95</v>
      </c>
      <c r="F12" s="107">
        <f>SUM(F4:F11)</f>
        <v>1183138.23</v>
      </c>
    </row>
    <row r="13" spans="1:6" ht="24" thickTop="1"/>
    <row r="15" spans="1:6">
      <c r="A15" s="506" t="s">
        <v>76</v>
      </c>
      <c r="B15" s="506"/>
      <c r="C15" s="506"/>
      <c r="D15" s="506"/>
      <c r="E15" s="506"/>
      <c r="F15" s="506"/>
    </row>
    <row r="16" spans="1:6">
      <c r="A16" s="506" t="str">
        <f>A2</f>
        <v>ประจำเดือนกรกฎาคม  2557</v>
      </c>
      <c r="B16" s="506"/>
      <c r="C16" s="506"/>
      <c r="D16" s="506"/>
      <c r="E16" s="506"/>
      <c r="F16" s="506"/>
    </row>
    <row r="17" spans="1:6">
      <c r="A17" s="108" t="s">
        <v>46</v>
      </c>
      <c r="B17" s="108" t="s">
        <v>2</v>
      </c>
      <c r="C17" s="108" t="s">
        <v>55</v>
      </c>
      <c r="D17" s="108" t="s">
        <v>381</v>
      </c>
      <c r="E17" s="108" t="s">
        <v>67</v>
      </c>
      <c r="F17" s="108" t="s">
        <v>49</v>
      </c>
    </row>
    <row r="18" spans="1:6">
      <c r="A18" s="358" t="s">
        <v>280</v>
      </c>
      <c r="B18" s="103"/>
      <c r="C18" s="104">
        <v>0</v>
      </c>
      <c r="D18" s="104">
        <f>3052200+3052200</f>
        <v>6104400</v>
      </c>
      <c r="E18" s="104">
        <f>1526100+502900+521000+502200+497600+560000+496600+495400</f>
        <v>5101800</v>
      </c>
      <c r="F18" s="104">
        <f t="shared" ref="F18:F25" si="1">C18+D18-E18</f>
        <v>1002600</v>
      </c>
    </row>
    <row r="19" spans="1:6">
      <c r="A19" s="358" t="s">
        <v>281</v>
      </c>
      <c r="B19" s="103"/>
      <c r="C19" s="104">
        <v>0</v>
      </c>
      <c r="D19" s="104">
        <f>330000+330000</f>
        <v>660000</v>
      </c>
      <c r="E19" s="104">
        <f>165000+55000+55000+55000+55000+55000+55000+55000</f>
        <v>550000</v>
      </c>
      <c r="F19" s="104">
        <f t="shared" si="1"/>
        <v>110000</v>
      </c>
    </row>
    <row r="20" spans="1:6">
      <c r="A20" s="358" t="s">
        <v>282</v>
      </c>
      <c r="B20" s="103"/>
      <c r="C20" s="104">
        <v>0</v>
      </c>
      <c r="D20" s="104">
        <f>144150+28830+86490</f>
        <v>259470</v>
      </c>
      <c r="E20" s="104">
        <f>86490+57660+28830+57660+28830</f>
        <v>259470</v>
      </c>
      <c r="F20" s="104">
        <f t="shared" si="1"/>
        <v>0</v>
      </c>
    </row>
    <row r="21" spans="1:6">
      <c r="A21" s="358" t="s">
        <v>371</v>
      </c>
      <c r="B21" s="103"/>
      <c r="C21" s="104">
        <v>0</v>
      </c>
      <c r="D21" s="104">
        <f>80850+16170+48510</f>
        <v>145530</v>
      </c>
      <c r="E21" s="104">
        <f>48510+32340+16170+32340+16170</f>
        <v>145530</v>
      </c>
      <c r="F21" s="104">
        <f t="shared" si="1"/>
        <v>0</v>
      </c>
    </row>
    <row r="22" spans="1:6">
      <c r="A22" s="358" t="s">
        <v>372</v>
      </c>
      <c r="B22" s="103"/>
      <c r="C22" s="104">
        <v>0</v>
      </c>
      <c r="D22" s="104">
        <f>267700+61324+167700</f>
        <v>496724</v>
      </c>
      <c r="E22" s="104">
        <f>160620+107080+53540+111800+55900</f>
        <v>488940</v>
      </c>
      <c r="F22" s="104">
        <f t="shared" si="1"/>
        <v>7784</v>
      </c>
    </row>
    <row r="23" spans="1:6">
      <c r="A23" s="358" t="s">
        <v>373</v>
      </c>
      <c r="B23" s="102"/>
      <c r="C23" s="104">
        <v>0</v>
      </c>
      <c r="D23" s="104">
        <f>32300+12676+12300</f>
        <v>57276</v>
      </c>
      <c r="E23" s="104">
        <f>19380+12920+6460+8200+4100</f>
        <v>51060</v>
      </c>
      <c r="F23" s="104">
        <f t="shared" si="1"/>
        <v>6216</v>
      </c>
    </row>
    <row r="24" spans="1:6">
      <c r="A24" s="358" t="s">
        <v>374</v>
      </c>
      <c r="B24" s="102"/>
      <c r="C24" s="104">
        <v>0</v>
      </c>
      <c r="D24" s="104">
        <f>9900+2250+6750</f>
        <v>18900</v>
      </c>
      <c r="E24" s="104">
        <f>5400+2250+2250+2250+2250+4500</f>
        <v>18900</v>
      </c>
      <c r="F24" s="104">
        <f t="shared" si="1"/>
        <v>0</v>
      </c>
    </row>
    <row r="25" spans="1:6">
      <c r="A25" s="358" t="s">
        <v>419</v>
      </c>
      <c r="B25" s="102"/>
      <c r="C25" s="104">
        <v>0</v>
      </c>
      <c r="D25" s="104">
        <v>800</v>
      </c>
      <c r="E25" s="104">
        <v>800</v>
      </c>
      <c r="F25" s="104">
        <f t="shared" si="1"/>
        <v>0</v>
      </c>
    </row>
    <row r="26" spans="1:6">
      <c r="A26" s="358" t="s">
        <v>420</v>
      </c>
      <c r="B26" s="102"/>
      <c r="C26" s="104">
        <v>0</v>
      </c>
      <c r="D26" s="104">
        <v>15361</v>
      </c>
      <c r="E26" s="104">
        <v>0</v>
      </c>
      <c r="F26" s="104"/>
    </row>
    <row r="27" spans="1:6">
      <c r="A27" s="358"/>
      <c r="B27" s="102"/>
      <c r="C27" s="104"/>
      <c r="D27" s="104"/>
      <c r="E27" s="104"/>
      <c r="F27" s="104"/>
    </row>
    <row r="28" spans="1:6">
      <c r="A28" s="358"/>
      <c r="B28" s="102"/>
      <c r="C28" s="104"/>
      <c r="D28" s="104"/>
      <c r="E28" s="104"/>
      <c r="F28" s="104"/>
    </row>
    <row r="29" spans="1:6">
      <c r="A29" s="358"/>
      <c r="B29" s="102"/>
      <c r="C29" s="104"/>
      <c r="D29" s="104"/>
      <c r="E29" s="104"/>
      <c r="F29" s="104"/>
    </row>
    <row r="30" spans="1:6">
      <c r="A30" s="358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7758461</v>
      </c>
      <c r="E31" s="107">
        <f>SUM(E18:E30)</f>
        <v>6616500</v>
      </c>
      <c r="F31" s="107">
        <f>SUM(F18:F30)</f>
        <v>1126600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workbookViewId="0">
      <selection activeCell="D15" sqref="D15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507" t="s">
        <v>289</v>
      </c>
      <c r="B1" s="507"/>
      <c r="C1" s="507"/>
      <c r="D1" s="507"/>
      <c r="E1" s="507"/>
      <c r="F1" s="507"/>
    </row>
    <row r="2" spans="1:8" ht="22.8">
      <c r="A2" s="507" t="s">
        <v>241</v>
      </c>
      <c r="B2" s="507"/>
      <c r="C2" s="507"/>
      <c r="D2" s="507"/>
      <c r="E2" s="507"/>
      <c r="F2" s="507"/>
    </row>
    <row r="3" spans="1:8" ht="22.8">
      <c r="A3" s="507" t="s">
        <v>417</v>
      </c>
      <c r="B3" s="507"/>
      <c r="C3" s="507"/>
      <c r="D3" s="507"/>
      <c r="E3" s="507"/>
      <c r="F3" s="507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508" t="s">
        <v>71</v>
      </c>
      <c r="B5" s="509"/>
      <c r="C5" s="512" t="s">
        <v>69</v>
      </c>
      <c r="D5" s="512" t="s">
        <v>243</v>
      </c>
      <c r="E5" s="173" t="s">
        <v>244</v>
      </c>
      <c r="F5" s="173" t="s">
        <v>245</v>
      </c>
    </row>
    <row r="6" spans="1:8">
      <c r="A6" s="510"/>
      <c r="B6" s="511"/>
      <c r="C6" s="513"/>
      <c r="D6" s="513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1067874.6200000001</v>
      </c>
      <c r="E7" s="178" t="s">
        <v>5</v>
      </c>
      <c r="F7" s="177">
        <f>C7-D7</f>
        <v>40325.379999999888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178467.95</v>
      </c>
      <c r="E8" s="183" t="s">
        <v>5</v>
      </c>
      <c r="F8" s="184">
        <f t="shared" ref="F8:F52" si="0">C8-D8</f>
        <v>38532.049999999988</v>
      </c>
      <c r="H8" s="185"/>
    </row>
    <row r="9" spans="1:8">
      <c r="A9" s="186"/>
      <c r="B9" s="187" t="s">
        <v>249</v>
      </c>
      <c r="C9" s="188">
        <v>42000</v>
      </c>
      <c r="D9" s="188">
        <f>20506+16330+1894+54+106</f>
        <v>38890</v>
      </c>
      <c r="E9" s="189" t="s">
        <v>5</v>
      </c>
      <c r="F9" s="190">
        <f t="shared" si="0"/>
        <v>3110</v>
      </c>
    </row>
    <row r="10" spans="1:8">
      <c r="A10" s="186"/>
      <c r="B10" s="187" t="s">
        <v>250</v>
      </c>
      <c r="C10" s="188">
        <v>170000</v>
      </c>
      <c r="D10" s="188">
        <f>2274.84+2320.23+71.2+24370.51+17778.36+25317.74+40860.63+6724.85+10625.13+6274.46</f>
        <v>136617.95000000001</v>
      </c>
      <c r="E10" s="189" t="s">
        <v>5</v>
      </c>
      <c r="F10" s="190">
        <f t="shared" si="0"/>
        <v>33382.049999999988</v>
      </c>
    </row>
    <row r="11" spans="1:8">
      <c r="A11" s="186"/>
      <c r="B11" s="187" t="s">
        <v>251</v>
      </c>
      <c r="C11" s="188">
        <v>5000</v>
      </c>
      <c r="D11" s="188">
        <f>2740+220</f>
        <v>2960</v>
      </c>
      <c r="E11" s="191" t="s">
        <v>5</v>
      </c>
      <c r="F11" s="190">
        <f t="shared" si="0"/>
        <v>2040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16559</v>
      </c>
      <c r="E12" s="183" t="s">
        <v>5</v>
      </c>
      <c r="F12" s="184">
        <f t="shared" si="0"/>
        <v>34641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120+100+50+100+50+100+50+250</f>
        <v>820</v>
      </c>
      <c r="E14" s="189" t="s">
        <v>406</v>
      </c>
      <c r="F14" s="190">
        <f t="shared" si="0"/>
        <v>-620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f>1800+10000+400</f>
        <v>12200</v>
      </c>
      <c r="E16" s="189" t="s">
        <v>406</v>
      </c>
      <c r="F16" s="190">
        <f t="shared" si="0"/>
        <v>-11200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f>996+2230</f>
        <v>3226</v>
      </c>
      <c r="E18" s="189" t="s">
        <v>5</v>
      </c>
      <c r="F18" s="190">
        <f t="shared" si="0"/>
        <v>46774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f>70+68+175</f>
        <v>313</v>
      </c>
      <c r="E21" s="189" t="s">
        <v>5</v>
      </c>
      <c r="F21" s="190">
        <f t="shared" si="0"/>
        <v>-313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181149.67</v>
      </c>
      <c r="E23" s="183" t="s">
        <v>406</v>
      </c>
      <c r="F23" s="184">
        <f t="shared" si="0"/>
        <v>-21149.670000000013</v>
      </c>
    </row>
    <row r="24" spans="1:6">
      <c r="A24" s="186"/>
      <c r="B24" s="193" t="s">
        <v>261</v>
      </c>
      <c r="C24" s="188">
        <v>160000</v>
      </c>
      <c r="D24" s="192">
        <f>18843.08+8352.82+21688.98+25791.27+106473.52</f>
        <v>181149.67</v>
      </c>
      <c r="E24" s="189" t="s">
        <v>406</v>
      </c>
      <c r="F24" s="190">
        <f t="shared" si="0"/>
        <v>-21149.670000000013</v>
      </c>
    </row>
    <row r="25" spans="1:6">
      <c r="A25" s="186"/>
      <c r="B25" s="193"/>
      <c r="C25" s="188"/>
      <c r="D25" s="192"/>
      <c r="E25" s="359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596860</v>
      </c>
      <c r="E26" s="359" t="s">
        <v>5</v>
      </c>
      <c r="F26" s="184">
        <f t="shared" si="0"/>
        <v>3140</v>
      </c>
    </row>
    <row r="27" spans="1:6">
      <c r="A27" s="186"/>
      <c r="B27" s="187" t="s">
        <v>262</v>
      </c>
      <c r="C27" s="188">
        <v>600000</v>
      </c>
      <c r="D27" s="192">
        <f>48630+48855+66955+44025+53890+53620+46565+81415+82550+70355</f>
        <v>596860</v>
      </c>
      <c r="E27" s="189" t="s">
        <v>5</v>
      </c>
      <c r="F27" s="198">
        <f t="shared" si="0"/>
        <v>3140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94838</v>
      </c>
      <c r="E29" s="183" t="s">
        <v>406</v>
      </c>
      <c r="F29" s="198">
        <f t="shared" si="0"/>
        <v>-14838</v>
      </c>
    </row>
    <row r="30" spans="1:6">
      <c r="A30" s="186"/>
      <c r="B30" s="187" t="s">
        <v>263</v>
      </c>
      <c r="C30" s="188">
        <v>60000</v>
      </c>
      <c r="D30" s="192">
        <f>23500+20500+5000+30500</f>
        <v>79500</v>
      </c>
      <c r="E30" s="189" t="s">
        <v>406</v>
      </c>
      <c r="F30" s="198">
        <f t="shared" si="0"/>
        <v>-19500</v>
      </c>
    </row>
    <row r="31" spans="1:6">
      <c r="A31" s="186"/>
      <c r="B31" s="187" t="s">
        <v>264</v>
      </c>
      <c r="C31" s="188">
        <v>20000</v>
      </c>
      <c r="D31" s="192">
        <f>3288+2450+4900+200+4500</f>
        <v>15338</v>
      </c>
      <c r="E31" s="189" t="s">
        <v>5</v>
      </c>
      <c r="F31" s="190">
        <f t="shared" si="0"/>
        <v>4662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25"/>
      <c r="B41" s="326"/>
      <c r="C41" s="327"/>
      <c r="D41" s="328"/>
      <c r="E41" s="329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0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SUM(D44:D54)</f>
        <v>13717280.469999997</v>
      </c>
      <c r="E43" s="205" t="s">
        <v>406</v>
      </c>
      <c r="F43" s="184">
        <f t="shared" si="0"/>
        <v>-614780.46999999695</v>
      </c>
    </row>
    <row r="44" spans="1:6">
      <c r="A44" s="186"/>
      <c r="B44" s="187" t="s">
        <v>268</v>
      </c>
      <c r="C44" s="188">
        <v>5910000</v>
      </c>
      <c r="D44" s="188">
        <f>578035.76+580923.2+1833994.94+1423856.97+1400161.78+629751.32+1229588.86</f>
        <v>7676312.830000001</v>
      </c>
      <c r="E44" s="189" t="s">
        <v>406</v>
      </c>
      <c r="F44" s="190">
        <f>D44-C44</f>
        <v>1766312.830000001</v>
      </c>
    </row>
    <row r="45" spans="1:6">
      <c r="A45" s="186"/>
      <c r="B45" s="187" t="s">
        <v>269</v>
      </c>
      <c r="C45" s="188">
        <v>2800000</v>
      </c>
      <c r="D45" s="188">
        <f>246114.13+324503.8+223617.44+299243.08+349832.79+548705.14+609298.5</f>
        <v>2601314.88</v>
      </c>
      <c r="E45" s="189" t="s">
        <v>5</v>
      </c>
      <c r="F45" s="190">
        <f t="shared" si="0"/>
        <v>198685.12000000011</v>
      </c>
    </row>
    <row r="46" spans="1:6">
      <c r="A46" s="186"/>
      <c r="B46" s="187" t="s">
        <v>270</v>
      </c>
      <c r="C46" s="188">
        <v>110000</v>
      </c>
      <c r="D46" s="188">
        <f>33823.8+34512.14+42527</f>
        <v>110862.94</v>
      </c>
      <c r="E46" s="189" t="s">
        <v>406</v>
      </c>
      <c r="F46" s="190">
        <f t="shared" si="0"/>
        <v>-862.94000000000233</v>
      </c>
    </row>
    <row r="47" spans="1:6">
      <c r="A47" s="186"/>
      <c r="B47" s="187" t="s">
        <v>271</v>
      </c>
      <c r="C47" s="188">
        <v>1350000</v>
      </c>
      <c r="D47" s="188">
        <f>87872.64+184707.69+150849.45+201261.21+145298.15+480435.06</f>
        <v>1250424.2</v>
      </c>
      <c r="E47" s="189" t="s">
        <v>5</v>
      </c>
      <c r="F47" s="190">
        <f t="shared" si="0"/>
        <v>99575.800000000047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197152.87+200988.15+183760.73+228649.48+207533.26+665260.97</f>
        <v>1683345.46</v>
      </c>
      <c r="E48" s="189" t="s">
        <v>5</v>
      </c>
      <c r="F48" s="190">
        <f t="shared" si="0"/>
        <v>806654.54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f>65223.02+27564.47+29009.14+27141.07</f>
        <v>148937.69999999998</v>
      </c>
      <c r="E50" s="189" t="s">
        <v>5</v>
      </c>
      <c r="F50" s="190">
        <f t="shared" si="0"/>
        <v>31062.300000000017</v>
      </c>
    </row>
    <row r="51" spans="1:7">
      <c r="A51" s="186"/>
      <c r="B51" s="187" t="s">
        <v>276</v>
      </c>
      <c r="C51" s="188">
        <v>200000</v>
      </c>
      <c r="D51" s="188">
        <f>20023+48740+19162+19990+58027+30886+46818</f>
        <v>243646</v>
      </c>
      <c r="E51" s="189" t="s">
        <v>406</v>
      </c>
      <c r="F51" s="190">
        <f t="shared" si="0"/>
        <v>-43646</v>
      </c>
      <c r="G51" s="185"/>
    </row>
    <row r="52" spans="1:7">
      <c r="A52" s="186"/>
      <c r="B52" s="187" t="s">
        <v>368</v>
      </c>
      <c r="C52" s="188">
        <v>2500</v>
      </c>
      <c r="D52" s="188">
        <v>1860.86</v>
      </c>
      <c r="E52" s="189" t="s">
        <v>5</v>
      </c>
      <c r="F52" s="190">
        <f t="shared" si="0"/>
        <v>639.1400000000001</v>
      </c>
      <c r="G52" s="185"/>
    </row>
    <row r="53" spans="1:7">
      <c r="A53" s="186"/>
      <c r="B53" s="187" t="s">
        <v>402</v>
      </c>
      <c r="C53" s="188">
        <v>0</v>
      </c>
      <c r="D53" s="188">
        <f>7+6</f>
        <v>13</v>
      </c>
      <c r="E53" s="189" t="s">
        <v>406</v>
      </c>
      <c r="F53" s="190">
        <f>D53-C53</f>
        <v>13</v>
      </c>
      <c r="G53" s="185"/>
    </row>
    <row r="54" spans="1:7">
      <c r="A54" s="186"/>
      <c r="B54" s="187" t="s">
        <v>408</v>
      </c>
      <c r="C54" s="188">
        <v>0</v>
      </c>
      <c r="D54" s="188">
        <f>58.2+38.8+465.6</f>
        <v>562.6</v>
      </c>
      <c r="E54" s="189" t="s">
        <v>406</v>
      </c>
      <c r="F54" s="190">
        <f>D54-C54</f>
        <v>562.6</v>
      </c>
      <c r="G54" s="185"/>
    </row>
    <row r="55" spans="1:7" s="179" customFormat="1">
      <c r="A55" s="200" t="s">
        <v>277</v>
      </c>
      <c r="B55" s="201"/>
      <c r="C55" s="207">
        <f>SUM(C56:C68)</f>
        <v>12000000</v>
      </c>
      <c r="D55" s="207">
        <f>SUM(D56)</f>
        <v>12561661</v>
      </c>
      <c r="E55" s="205" t="s">
        <v>406</v>
      </c>
      <c r="F55" s="184">
        <f>D55-C55</f>
        <v>561661</v>
      </c>
    </row>
    <row r="56" spans="1:7">
      <c r="A56" s="186"/>
      <c r="B56" s="187" t="s">
        <v>278</v>
      </c>
      <c r="C56" s="192">
        <v>12000000</v>
      </c>
      <c r="D56" s="199">
        <f>10804861+1756800</f>
        <v>12561661</v>
      </c>
      <c r="E56" s="191" t="s">
        <v>406</v>
      </c>
      <c r="F56" s="198">
        <f>D56-C56</f>
        <v>561661</v>
      </c>
    </row>
    <row r="57" spans="1:7">
      <c r="A57" s="186"/>
      <c r="B57" s="187"/>
      <c r="C57" s="192"/>
      <c r="D57" s="199"/>
      <c r="E57" s="191"/>
      <c r="F57" s="188"/>
    </row>
    <row r="58" spans="1:7">
      <c r="A58" s="200" t="s">
        <v>279</v>
      </c>
      <c r="B58" s="201"/>
      <c r="C58" s="207"/>
      <c r="D58" s="207">
        <f>SUM(D59:D71)</f>
        <v>7758461</v>
      </c>
      <c r="E58" s="205" t="s">
        <v>5</v>
      </c>
      <c r="F58" s="204">
        <v>0</v>
      </c>
    </row>
    <row r="59" spans="1:7">
      <c r="A59" s="200"/>
      <c r="B59" s="187" t="s">
        <v>280</v>
      </c>
      <c r="C59" s="188"/>
      <c r="D59" s="188">
        <f>3052200+3052200</f>
        <v>6104400</v>
      </c>
      <c r="E59" s="191" t="s">
        <v>5</v>
      </c>
      <c r="F59" s="188">
        <f t="shared" ref="F59:F71" si="1">D59</f>
        <v>6104400</v>
      </c>
    </row>
    <row r="60" spans="1:7">
      <c r="A60" s="186"/>
      <c r="B60" s="187" t="s">
        <v>281</v>
      </c>
      <c r="C60" s="188"/>
      <c r="D60" s="188">
        <f>330000+330000</f>
        <v>660000</v>
      </c>
      <c r="E60" s="191" t="s">
        <v>5</v>
      </c>
      <c r="F60" s="188">
        <f t="shared" si="1"/>
        <v>660000</v>
      </c>
    </row>
    <row r="61" spans="1:7">
      <c r="A61" s="186"/>
      <c r="B61" s="187" t="s">
        <v>282</v>
      </c>
      <c r="C61" s="188"/>
      <c r="D61" s="188">
        <f>144150+28830+86490</f>
        <v>259470</v>
      </c>
      <c r="E61" s="191" t="s">
        <v>5</v>
      </c>
      <c r="F61" s="188">
        <f t="shared" si="1"/>
        <v>259470</v>
      </c>
    </row>
    <row r="62" spans="1:7">
      <c r="A62" s="186"/>
      <c r="B62" s="187" t="s">
        <v>371</v>
      </c>
      <c r="C62" s="188"/>
      <c r="D62" s="188">
        <f>80850+16170+48510</f>
        <v>145530</v>
      </c>
      <c r="E62" s="191" t="s">
        <v>5</v>
      </c>
      <c r="F62" s="188">
        <f t="shared" si="1"/>
        <v>145530</v>
      </c>
    </row>
    <row r="63" spans="1:7">
      <c r="A63" s="186"/>
      <c r="B63" s="187" t="s">
        <v>372</v>
      </c>
      <c r="C63" s="188"/>
      <c r="D63" s="188">
        <f>61324+267700+167700</f>
        <v>496724</v>
      </c>
      <c r="E63" s="191" t="s">
        <v>5</v>
      </c>
      <c r="F63" s="188">
        <f t="shared" si="1"/>
        <v>496724</v>
      </c>
    </row>
    <row r="64" spans="1:7">
      <c r="A64" s="186"/>
      <c r="B64" s="187" t="s">
        <v>373</v>
      </c>
      <c r="C64" s="188"/>
      <c r="D64" s="188">
        <f>32300+12676+12300</f>
        <v>57276</v>
      </c>
      <c r="E64" s="191" t="s">
        <v>5</v>
      </c>
      <c r="F64" s="188">
        <f t="shared" si="1"/>
        <v>57276</v>
      </c>
    </row>
    <row r="65" spans="1:8">
      <c r="A65" s="186"/>
      <c r="B65" s="187" t="s">
        <v>374</v>
      </c>
      <c r="C65" s="188"/>
      <c r="D65" s="188">
        <f>9900+2250+6750</f>
        <v>18900</v>
      </c>
      <c r="E65" s="191" t="s">
        <v>5</v>
      </c>
      <c r="F65" s="188">
        <f t="shared" si="1"/>
        <v>18900</v>
      </c>
    </row>
    <row r="66" spans="1:8">
      <c r="A66" s="186"/>
      <c r="B66" s="187" t="s">
        <v>424</v>
      </c>
      <c r="C66" s="188"/>
      <c r="D66" s="188">
        <v>800</v>
      </c>
      <c r="E66" s="191" t="s">
        <v>5</v>
      </c>
      <c r="F66" s="188">
        <f t="shared" si="1"/>
        <v>800</v>
      </c>
    </row>
    <row r="67" spans="1:8">
      <c r="A67" s="186"/>
      <c r="B67" s="187" t="s">
        <v>425</v>
      </c>
      <c r="C67" s="188"/>
      <c r="D67" s="188">
        <v>15361</v>
      </c>
      <c r="E67" s="191" t="s">
        <v>5</v>
      </c>
      <c r="F67" s="188">
        <f t="shared" si="1"/>
        <v>15361</v>
      </c>
    </row>
    <row r="68" spans="1:8">
      <c r="A68" s="186"/>
      <c r="B68" s="187" t="s">
        <v>380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382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383</v>
      </c>
      <c r="C70" s="188"/>
      <c r="D70" s="188">
        <v>0</v>
      </c>
      <c r="E70" s="191" t="s">
        <v>5</v>
      </c>
      <c r="F70" s="188">
        <f t="shared" si="1"/>
        <v>0</v>
      </c>
    </row>
    <row r="71" spans="1:8">
      <c r="A71" s="186"/>
      <c r="B71" s="187" t="s">
        <v>386</v>
      </c>
      <c r="C71" s="188"/>
      <c r="D71" s="188">
        <v>0</v>
      </c>
      <c r="E71" s="191"/>
      <c r="F71" s="188">
        <f t="shared" si="1"/>
        <v>0</v>
      </c>
    </row>
    <row r="72" spans="1:8" s="179" customFormat="1" ht="20.399999999999999">
      <c r="A72" s="208" t="s">
        <v>283</v>
      </c>
      <c r="B72" s="209"/>
      <c r="C72" s="207">
        <f>+C7+C43+C55</f>
        <v>26210700</v>
      </c>
      <c r="D72" s="207">
        <f>D7+D43+D55</f>
        <v>27346816.089999996</v>
      </c>
      <c r="E72" s="205" t="s">
        <v>5</v>
      </c>
      <c r="F72" s="204">
        <f>+C72-D72</f>
        <v>-1136116.0899999961</v>
      </c>
      <c r="G72" s="210"/>
    </row>
    <row r="73" spans="1:8" s="179" customFormat="1" ht="20.399999999999999">
      <c r="A73" s="211"/>
      <c r="B73" s="212"/>
      <c r="C73" s="213"/>
      <c r="D73" s="213"/>
      <c r="E73" s="214"/>
      <c r="F73" s="215"/>
      <c r="G73" s="210"/>
    </row>
    <row r="74" spans="1:8">
      <c r="A74" s="216"/>
      <c r="B74" s="216"/>
      <c r="C74" s="216"/>
      <c r="D74" s="216"/>
      <c r="E74" s="216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A76" s="217"/>
      <c r="B76" s="217"/>
      <c r="C76" s="217"/>
      <c r="D76" s="217"/>
      <c r="E76" s="217"/>
      <c r="F76" s="216"/>
    </row>
    <row r="77" spans="1:8">
      <c r="D77" s="218"/>
      <c r="F77" s="185"/>
      <c r="H77" s="185"/>
    </row>
    <row r="78" spans="1:8">
      <c r="D78" s="218"/>
      <c r="F78" s="185"/>
    </row>
    <row r="79" spans="1:8">
      <c r="D79" s="218"/>
    </row>
    <row r="80" spans="1:8">
      <c r="D80" s="218"/>
    </row>
    <row r="81" spans="4:4">
      <c r="D81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14" sqref="C14"/>
    </sheetView>
  </sheetViews>
  <sheetFormatPr defaultRowHeight="15.6"/>
  <cols>
    <col min="1" max="1" width="8.88671875" style="57"/>
    <col min="2" max="2" width="43.44140625" style="57" customWidth="1"/>
    <col min="3" max="3" width="13.109375" style="57" customWidth="1"/>
    <col min="4" max="4" width="12.109375" style="57" customWidth="1"/>
    <col min="5" max="5" width="12.6640625" style="57" customWidth="1"/>
    <col min="6" max="16384" width="8.88671875" style="57"/>
  </cols>
  <sheetData>
    <row r="1" spans="1:8" ht="22.8">
      <c r="A1" s="507" t="s">
        <v>289</v>
      </c>
      <c r="B1" s="507"/>
      <c r="C1" s="507"/>
      <c r="D1" s="507"/>
      <c r="E1" s="507"/>
    </row>
    <row r="2" spans="1:8" ht="22.8">
      <c r="A2" s="507" t="s">
        <v>285</v>
      </c>
      <c r="B2" s="507"/>
      <c r="C2" s="507"/>
      <c r="D2" s="507"/>
      <c r="E2" s="507"/>
    </row>
    <row r="3" spans="1:8" ht="22.8">
      <c r="A3" s="507" t="s">
        <v>418</v>
      </c>
      <c r="B3" s="507"/>
      <c r="C3" s="507"/>
      <c r="D3" s="507"/>
      <c r="E3" s="507"/>
    </row>
    <row r="4" spans="1:8" ht="22.8">
      <c r="A4" s="219" t="s">
        <v>369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516" t="s">
        <v>35</v>
      </c>
      <c r="B6" s="516" t="s">
        <v>67</v>
      </c>
      <c r="C6" s="516" t="s">
        <v>286</v>
      </c>
      <c r="D6" s="516" t="s">
        <v>287</v>
      </c>
      <c r="E6" s="516" t="s">
        <v>288</v>
      </c>
    </row>
    <row r="7" spans="1:8" ht="38.25" customHeight="1">
      <c r="A7" s="517"/>
      <c r="B7" s="517"/>
      <c r="C7" s="517"/>
      <c r="D7" s="517"/>
      <c r="E7" s="517"/>
    </row>
    <row r="8" spans="1:8" ht="21">
      <c r="A8" s="396" t="s">
        <v>414</v>
      </c>
      <c r="B8" s="391" t="s">
        <v>403</v>
      </c>
      <c r="C8" s="381">
        <v>600000</v>
      </c>
      <c r="D8" s="381">
        <v>568806</v>
      </c>
      <c r="E8" s="392">
        <f>C8-D8</f>
        <v>31194</v>
      </c>
    </row>
    <row r="9" spans="1:8" ht="21">
      <c r="A9" s="382"/>
      <c r="B9" s="383"/>
      <c r="C9" s="384"/>
      <c r="D9" s="384"/>
      <c r="E9" s="384"/>
    </row>
    <row r="10" spans="1:8" ht="21">
      <c r="A10" s="385"/>
      <c r="B10" s="383"/>
      <c r="C10" s="384"/>
      <c r="D10" s="384"/>
      <c r="E10" s="384"/>
    </row>
    <row r="11" spans="1:8" ht="21">
      <c r="A11" s="385"/>
      <c r="B11" s="383"/>
      <c r="C11" s="384"/>
      <c r="D11" s="384"/>
      <c r="E11" s="384"/>
    </row>
    <row r="12" spans="1:8" ht="21">
      <c r="A12" s="385"/>
      <c r="B12" s="383"/>
      <c r="C12" s="384"/>
      <c r="D12" s="384"/>
      <c r="E12" s="384"/>
    </row>
    <row r="13" spans="1:8" ht="21">
      <c r="A13" s="385"/>
      <c r="B13" s="383"/>
      <c r="C13" s="384"/>
      <c r="D13" s="384"/>
      <c r="E13" s="384"/>
    </row>
    <row r="14" spans="1:8" ht="21">
      <c r="A14" s="385"/>
      <c r="B14" s="383"/>
      <c r="C14" s="384"/>
      <c r="D14" s="384"/>
      <c r="E14" s="384"/>
      <c r="H14" s="386"/>
    </row>
    <row r="15" spans="1:8" ht="21">
      <c r="A15" s="385"/>
      <c r="B15" s="383"/>
      <c r="C15" s="384"/>
      <c r="D15" s="384"/>
      <c r="E15" s="384"/>
    </row>
    <row r="16" spans="1:8" ht="21">
      <c r="A16" s="385"/>
      <c r="B16" s="383"/>
      <c r="C16" s="384"/>
      <c r="D16" s="384"/>
      <c r="E16" s="384"/>
    </row>
    <row r="17" spans="1:8" ht="21">
      <c r="A17" s="385"/>
      <c r="B17" s="383"/>
      <c r="C17" s="384"/>
      <c r="D17" s="384"/>
      <c r="E17" s="384"/>
    </row>
    <row r="18" spans="1:8" ht="21">
      <c r="A18" s="385"/>
      <c r="B18" s="383"/>
      <c r="C18" s="384"/>
      <c r="D18" s="384"/>
      <c r="E18" s="384"/>
    </row>
    <row r="19" spans="1:8" ht="21">
      <c r="A19" s="385"/>
      <c r="B19" s="383"/>
      <c r="C19" s="384"/>
      <c r="D19" s="384"/>
      <c r="E19" s="384"/>
    </row>
    <row r="20" spans="1:8" ht="21">
      <c r="A20" s="385"/>
      <c r="B20" s="383"/>
      <c r="C20" s="384"/>
      <c r="D20" s="384"/>
      <c r="E20" s="384"/>
    </row>
    <row r="21" spans="1:8" ht="21">
      <c r="A21" s="385"/>
      <c r="B21" s="383"/>
      <c r="C21" s="384"/>
      <c r="D21" s="384"/>
      <c r="E21" s="384"/>
    </row>
    <row r="22" spans="1:8" ht="21">
      <c r="A22" s="385"/>
      <c r="B22" s="383"/>
      <c r="C22" s="384"/>
      <c r="D22" s="384"/>
      <c r="E22" s="384"/>
    </row>
    <row r="23" spans="1:8" ht="21">
      <c r="A23" s="385"/>
      <c r="B23" s="380"/>
      <c r="C23" s="384"/>
      <c r="D23" s="384"/>
      <c r="E23" s="384"/>
    </row>
    <row r="24" spans="1:8" ht="21">
      <c r="A24" s="385"/>
      <c r="B24" s="383"/>
      <c r="C24" s="384"/>
      <c r="D24" s="384"/>
      <c r="E24" s="384"/>
    </row>
    <row r="25" spans="1:8" ht="21">
      <c r="A25" s="385"/>
      <c r="B25" s="383"/>
      <c r="C25" s="384"/>
      <c r="D25" s="384"/>
      <c r="E25" s="384"/>
    </row>
    <row r="26" spans="1:8" ht="21">
      <c r="A26" s="385"/>
      <c r="B26" s="383"/>
      <c r="C26" s="384"/>
      <c r="D26" s="384"/>
      <c r="E26" s="384"/>
    </row>
    <row r="27" spans="1:8" ht="21">
      <c r="A27" s="385"/>
      <c r="B27" s="387"/>
      <c r="C27" s="384"/>
      <c r="D27" s="384"/>
      <c r="E27" s="384"/>
    </row>
    <row r="28" spans="1:8" ht="21">
      <c r="A28" s="385"/>
      <c r="B28" s="383"/>
      <c r="C28" s="384"/>
      <c r="D28" s="384"/>
      <c r="E28" s="384"/>
    </row>
    <row r="29" spans="1:8" ht="21">
      <c r="A29" s="385"/>
      <c r="B29" s="383"/>
      <c r="C29" s="384"/>
      <c r="D29" s="384"/>
      <c r="E29" s="384"/>
    </row>
    <row r="30" spans="1:8" ht="21.6" thickBot="1">
      <c r="A30" s="514" t="s">
        <v>54</v>
      </c>
      <c r="B30" s="515"/>
      <c r="C30" s="388">
        <f>SUM(C8:C14)</f>
        <v>600000</v>
      </c>
      <c r="D30" s="388">
        <f t="shared" ref="D30:E30" si="0">SUM(D8:D14)</f>
        <v>568806</v>
      </c>
      <c r="E30" s="388">
        <f t="shared" si="0"/>
        <v>31194</v>
      </c>
      <c r="G30" s="221"/>
      <c r="H30" s="221"/>
    </row>
    <row r="31" spans="1:8" ht="16.2" thickTop="1"/>
    <row r="33" spans="1:5" ht="21">
      <c r="A33" s="389"/>
      <c r="B33" s="389"/>
      <c r="C33" s="389"/>
      <c r="D33" s="389"/>
      <c r="E33" s="389"/>
    </row>
    <row r="34" spans="1:5" ht="21">
      <c r="A34" s="390"/>
      <c r="B34" s="390"/>
      <c r="C34" s="390"/>
      <c r="D34" s="390"/>
      <c r="E34" s="390"/>
    </row>
    <row r="35" spans="1:5" ht="21">
      <c r="A35" s="390"/>
      <c r="B35" s="390"/>
      <c r="C35" s="390"/>
      <c r="D35" s="390"/>
      <c r="E35" s="390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2"/>
  <sheetViews>
    <sheetView workbookViewId="0">
      <selection activeCell="H44" sqref="H44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20" t="s">
        <v>22</v>
      </c>
      <c r="B1" s="521"/>
      <c r="C1" s="521"/>
      <c r="D1" s="521"/>
      <c r="E1" s="521"/>
      <c r="F1" s="521"/>
      <c r="G1" s="522"/>
      <c r="H1" s="520" t="s">
        <v>23</v>
      </c>
      <c r="I1" s="521"/>
      <c r="J1" s="522"/>
      <c r="K1" s="1"/>
    </row>
    <row r="2" spans="1:12" ht="21.75" customHeight="1">
      <c r="A2" s="523" t="s">
        <v>24</v>
      </c>
      <c r="B2" s="524"/>
      <c r="C2" s="524"/>
      <c r="D2" s="524"/>
      <c r="E2" s="524"/>
      <c r="F2" s="524"/>
      <c r="G2" s="525"/>
      <c r="H2" s="526" t="s">
        <v>164</v>
      </c>
      <c r="I2" s="527"/>
      <c r="J2" s="528"/>
    </row>
    <row r="3" spans="1:12" ht="12.75" customHeight="1">
      <c r="A3" s="3"/>
      <c r="B3" s="4"/>
      <c r="C3" s="5"/>
      <c r="D3" s="6"/>
      <c r="E3" s="5"/>
      <c r="F3" s="5"/>
      <c r="G3" s="7"/>
      <c r="H3" s="529" t="s">
        <v>26</v>
      </c>
      <c r="I3" s="530"/>
      <c r="J3" s="531"/>
    </row>
    <row r="4" spans="1:12" ht="18.75" customHeight="1">
      <c r="A4" s="8"/>
      <c r="B4" s="9" t="s">
        <v>376</v>
      </c>
      <c r="C4" s="9"/>
      <c r="D4" s="9"/>
      <c r="E4" s="532">
        <v>21031</v>
      </c>
      <c r="F4" s="532"/>
      <c r="G4" s="10"/>
      <c r="H4" s="11"/>
      <c r="I4" s="12">
        <v>3639609.05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3639609.05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9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L5-I36</f>
        <v>226447.49000000022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/>
      <c r="C11" s="378"/>
      <c r="D11" s="20"/>
      <c r="E11" s="9"/>
      <c r="F11" s="21"/>
      <c r="G11" s="10"/>
      <c r="H11" s="8"/>
      <c r="I11" s="9"/>
      <c r="J11" s="10"/>
    </row>
    <row r="12" spans="1:12" ht="18.899999999999999" customHeight="1">
      <c r="A12" s="8"/>
      <c r="B12" s="20" t="s">
        <v>412</v>
      </c>
      <c r="C12" s="379" t="s">
        <v>175</v>
      </c>
      <c r="D12" s="20" t="s">
        <v>413</v>
      </c>
      <c r="E12" s="9"/>
      <c r="F12" s="110">
        <v>500</v>
      </c>
      <c r="G12" s="10"/>
      <c r="H12" s="8"/>
      <c r="I12" s="9"/>
      <c r="J12" s="10"/>
    </row>
    <row r="13" spans="1:12" ht="18.899999999999999" customHeight="1">
      <c r="A13" s="8"/>
      <c r="B13" s="20" t="s">
        <v>426</v>
      </c>
      <c r="C13" s="394" t="s">
        <v>175</v>
      </c>
      <c r="D13" s="20" t="s">
        <v>427</v>
      </c>
      <c r="E13" s="9"/>
      <c r="F13" s="110">
        <v>4801.5</v>
      </c>
      <c r="G13" s="10"/>
      <c r="H13" s="8"/>
      <c r="I13" s="59"/>
      <c r="J13" s="10"/>
    </row>
    <row r="14" spans="1:12" ht="18.899999999999999" customHeight="1">
      <c r="A14" s="8"/>
      <c r="B14" s="20" t="s">
        <v>426</v>
      </c>
      <c r="C14" s="394" t="s">
        <v>175</v>
      </c>
      <c r="D14" s="20" t="s">
        <v>428</v>
      </c>
      <c r="E14" s="9"/>
      <c r="F14" s="110">
        <v>60004.44</v>
      </c>
      <c r="G14" s="10"/>
      <c r="H14" s="8"/>
      <c r="I14" s="122">
        <f>SUM(F11:F24)</f>
        <v>219156.49</v>
      </c>
      <c r="J14" s="10"/>
    </row>
    <row r="15" spans="1:12" ht="18.899999999999999" customHeight="1">
      <c r="A15" s="8"/>
      <c r="B15" s="20" t="s">
        <v>429</v>
      </c>
      <c r="C15" s="394" t="s">
        <v>175</v>
      </c>
      <c r="D15" s="20" t="s">
        <v>430</v>
      </c>
      <c r="E15" s="9"/>
      <c r="F15" s="21">
        <v>2448</v>
      </c>
      <c r="G15" s="10"/>
      <c r="H15" s="8"/>
      <c r="I15" s="9"/>
      <c r="J15" s="10"/>
    </row>
    <row r="16" spans="1:12" ht="18.899999999999999" customHeight="1">
      <c r="A16" s="8"/>
      <c r="B16" s="20" t="s">
        <v>429</v>
      </c>
      <c r="C16" s="394" t="s">
        <v>175</v>
      </c>
      <c r="D16" s="20" t="s">
        <v>432</v>
      </c>
      <c r="E16" s="9"/>
      <c r="F16" s="21">
        <v>4613.3999999999996</v>
      </c>
      <c r="G16" s="10"/>
      <c r="H16" s="8"/>
      <c r="I16" s="9"/>
      <c r="J16" s="10"/>
    </row>
    <row r="17" spans="1:12" ht="18.899999999999999" customHeight="1">
      <c r="A17" s="8"/>
      <c r="B17" s="20" t="s">
        <v>441</v>
      </c>
      <c r="C17" s="406" t="s">
        <v>175</v>
      </c>
      <c r="D17" s="20" t="s">
        <v>433</v>
      </c>
      <c r="E17" s="9"/>
      <c r="F17" s="21">
        <v>9000</v>
      </c>
      <c r="G17" s="10"/>
      <c r="H17" s="8"/>
      <c r="J17" s="10"/>
      <c r="L17" s="27">
        <f>I4-I36</f>
        <v>226447.49000000022</v>
      </c>
    </row>
    <row r="18" spans="1:12" ht="18.899999999999999" customHeight="1">
      <c r="A18" s="8"/>
      <c r="B18" s="20" t="s">
        <v>441</v>
      </c>
      <c r="C18" s="406" t="s">
        <v>175</v>
      </c>
      <c r="D18" s="20" t="s">
        <v>434</v>
      </c>
      <c r="E18" s="9"/>
      <c r="F18" s="21">
        <v>2970</v>
      </c>
      <c r="G18" s="10"/>
      <c r="H18" s="8"/>
      <c r="I18" s="59"/>
      <c r="J18" s="10"/>
      <c r="L18" s="27"/>
    </row>
    <row r="19" spans="1:12" ht="18.899999999999999" customHeight="1">
      <c r="A19" s="8"/>
      <c r="B19" s="20" t="s">
        <v>442</v>
      </c>
      <c r="C19" s="406" t="s">
        <v>175</v>
      </c>
      <c r="D19" s="20" t="s">
        <v>435</v>
      </c>
      <c r="E19" s="9"/>
      <c r="F19" s="21">
        <v>37892.53</v>
      </c>
      <c r="G19" s="10"/>
      <c r="H19" s="8"/>
      <c r="I19" s="59"/>
      <c r="J19" s="10"/>
      <c r="L19" s="27"/>
    </row>
    <row r="20" spans="1:12" ht="18.899999999999999" customHeight="1">
      <c r="A20" s="8"/>
      <c r="B20" s="20" t="s">
        <v>442</v>
      </c>
      <c r="C20" s="406" t="s">
        <v>175</v>
      </c>
      <c r="D20" s="20" t="s">
        <v>436</v>
      </c>
      <c r="E20" s="9"/>
      <c r="F20" s="21">
        <v>23676.62</v>
      </c>
      <c r="G20" s="10"/>
      <c r="H20" s="8"/>
      <c r="I20" s="59"/>
      <c r="J20" s="10"/>
      <c r="L20" s="27">
        <f>SUM(F19:F21)</f>
        <v>66019.149999999994</v>
      </c>
    </row>
    <row r="21" spans="1:12" ht="18.899999999999999" customHeight="1">
      <c r="A21" s="8"/>
      <c r="B21" s="20" t="s">
        <v>442</v>
      </c>
      <c r="C21" s="406" t="s">
        <v>175</v>
      </c>
      <c r="D21" s="20" t="s">
        <v>437</v>
      </c>
      <c r="E21" s="9"/>
      <c r="F21" s="21">
        <v>4450</v>
      </c>
      <c r="G21" s="10"/>
      <c r="H21" s="8"/>
      <c r="I21" s="59"/>
      <c r="J21" s="10"/>
      <c r="L21" s="27"/>
    </row>
    <row r="22" spans="1:12" ht="18.899999999999999" customHeight="1">
      <c r="A22" s="8"/>
      <c r="B22" s="20" t="s">
        <v>442</v>
      </c>
      <c r="C22" s="406" t="s">
        <v>175</v>
      </c>
      <c r="D22" s="20" t="s">
        <v>438</v>
      </c>
      <c r="E22" s="9"/>
      <c r="F22" s="110">
        <v>550</v>
      </c>
      <c r="G22" s="10"/>
      <c r="H22" s="8"/>
      <c r="I22" s="9"/>
      <c r="J22" s="10"/>
    </row>
    <row r="23" spans="1:12" ht="18.899999999999999" customHeight="1">
      <c r="A23" s="8"/>
      <c r="B23" s="20" t="s">
        <v>442</v>
      </c>
      <c r="C23" s="406" t="s">
        <v>175</v>
      </c>
      <c r="D23" s="20" t="s">
        <v>439</v>
      </c>
      <c r="E23" s="9"/>
      <c r="F23" s="110">
        <v>3900</v>
      </c>
      <c r="G23" s="10"/>
      <c r="H23" s="8"/>
      <c r="I23" s="9"/>
      <c r="J23" s="10"/>
    </row>
    <row r="24" spans="1:12" ht="18.899999999999999" customHeight="1">
      <c r="A24" s="8"/>
      <c r="B24" s="20" t="s">
        <v>442</v>
      </c>
      <c r="C24" s="406" t="s">
        <v>175</v>
      </c>
      <c r="D24" s="20" t="s">
        <v>440</v>
      </c>
      <c r="E24" s="9"/>
      <c r="F24" s="110">
        <v>64350</v>
      </c>
      <c r="G24" s="10"/>
      <c r="H24" s="8"/>
      <c r="I24" s="9"/>
      <c r="J24" s="10"/>
    </row>
    <row r="25" spans="1:12" ht="18.899999999999999" customHeight="1">
      <c r="A25" s="8"/>
      <c r="B25" s="20"/>
      <c r="C25" s="376"/>
      <c r="D25" s="20"/>
      <c r="E25" s="9"/>
      <c r="F25" s="110"/>
      <c r="G25" s="10"/>
      <c r="H25" s="8"/>
      <c r="I25" s="9"/>
      <c r="J25" s="10"/>
    </row>
    <row r="26" spans="1:12" ht="18.899999999999999" customHeight="1">
      <c r="A26" s="8"/>
      <c r="B26" s="14" t="s">
        <v>37</v>
      </c>
      <c r="C26" s="376"/>
      <c r="D26" s="20"/>
      <c r="E26" s="9"/>
      <c r="F26" s="110"/>
      <c r="G26" s="10"/>
      <c r="H26" s="8"/>
      <c r="I26" s="9"/>
      <c r="J26" s="10"/>
    </row>
    <row r="27" spans="1:12" ht="18.899999999999999" customHeight="1">
      <c r="A27" s="8"/>
      <c r="B27" s="395" t="s">
        <v>431</v>
      </c>
      <c r="C27" s="376"/>
      <c r="D27" s="20"/>
      <c r="E27" s="9"/>
      <c r="F27" s="110"/>
      <c r="G27" s="10"/>
      <c r="H27" s="8"/>
      <c r="I27" s="25">
        <v>0</v>
      </c>
      <c r="J27" s="10"/>
    </row>
    <row r="28" spans="1:12" ht="18.899999999999999" customHeight="1">
      <c r="A28" s="8"/>
      <c r="B28" s="14" t="s">
        <v>404</v>
      </c>
      <c r="C28" s="378"/>
      <c r="D28" s="109"/>
      <c r="E28" s="9"/>
      <c r="F28" s="110"/>
      <c r="G28" s="10"/>
      <c r="H28" s="8"/>
      <c r="I28" s="9"/>
      <c r="J28" s="10"/>
    </row>
    <row r="29" spans="1:12" ht="18.899999999999999" customHeight="1">
      <c r="A29" s="8"/>
      <c r="B29" s="357" t="s">
        <v>443</v>
      </c>
      <c r="C29" s="356"/>
      <c r="D29" s="109"/>
      <c r="E29" s="9"/>
      <c r="F29" s="110"/>
      <c r="G29" s="10"/>
      <c r="H29" s="8"/>
      <c r="I29" s="25">
        <v>7291</v>
      </c>
      <c r="J29" s="10"/>
    </row>
    <row r="30" spans="1:12" ht="18.899999999999999" customHeight="1">
      <c r="A30" s="8"/>
      <c r="B30" s="20"/>
      <c r="C30" s="376"/>
      <c r="D30" s="20"/>
      <c r="E30" s="9"/>
      <c r="F30" s="110"/>
      <c r="G30" s="10"/>
      <c r="H30" s="8"/>
      <c r="I30" s="9"/>
      <c r="J30" s="10"/>
    </row>
    <row r="31" spans="1:12" ht="18.899999999999999" customHeight="1">
      <c r="A31" s="8"/>
      <c r="B31" s="20"/>
      <c r="C31" s="376"/>
      <c r="D31" s="20"/>
      <c r="E31" s="9"/>
      <c r="F31" s="110"/>
      <c r="G31" s="10"/>
      <c r="H31" s="8"/>
      <c r="I31" s="58">
        <f>SUM(F30:F31)</f>
        <v>0</v>
      </c>
      <c r="J31" s="10"/>
    </row>
    <row r="32" spans="1:12" ht="18.899999999999999" customHeight="1">
      <c r="A32" s="8"/>
      <c r="B32" s="20"/>
      <c r="C32" s="376"/>
      <c r="D32" s="20"/>
      <c r="E32" s="9"/>
      <c r="F32" s="110"/>
      <c r="G32" s="10"/>
      <c r="H32" s="8"/>
      <c r="I32" s="9"/>
      <c r="J32" s="10"/>
    </row>
    <row r="33" spans="1:12" ht="18.899999999999999" customHeight="1">
      <c r="A33" s="8"/>
      <c r="B33" s="14"/>
      <c r="C33" s="111"/>
      <c r="D33" s="109"/>
      <c r="E33" s="9"/>
      <c r="F33" s="110"/>
      <c r="G33" s="10"/>
      <c r="H33" s="8"/>
      <c r="I33" s="9"/>
      <c r="J33" s="10"/>
    </row>
    <row r="34" spans="1:12" ht="18.899999999999999" customHeight="1">
      <c r="A34" s="8"/>
      <c r="B34" s="14"/>
      <c r="C34" s="111"/>
      <c r="D34" s="109"/>
      <c r="E34" s="9"/>
      <c r="F34" s="110"/>
      <c r="G34" s="10"/>
      <c r="H34" s="8"/>
      <c r="I34" s="9"/>
      <c r="J34" s="10"/>
    </row>
    <row r="35" spans="1:12">
      <c r="A35" s="8"/>
      <c r="B35" s="357"/>
      <c r="C35" s="356"/>
      <c r="D35" s="109"/>
      <c r="E35" s="9"/>
      <c r="F35" s="110"/>
      <c r="G35" s="10"/>
      <c r="H35" s="8"/>
      <c r="I35" s="25"/>
      <c r="J35" s="10"/>
    </row>
    <row r="36" spans="1:12" ht="21.75" customHeight="1">
      <c r="A36" s="28"/>
      <c r="B36" s="29" t="s">
        <v>377</v>
      </c>
      <c r="C36" s="29"/>
      <c r="D36" s="29"/>
      <c r="E36" s="533">
        <f>E4</f>
        <v>21031</v>
      </c>
      <c r="F36" s="533"/>
      <c r="G36" s="31"/>
      <c r="H36" s="28"/>
      <c r="I36" s="12">
        <f>I4-I14-I29</f>
        <v>3413161.5599999996</v>
      </c>
      <c r="J36" s="30"/>
      <c r="L36" s="24"/>
    </row>
    <row r="37" spans="1:12" ht="32.25" customHeight="1">
      <c r="A37" s="3"/>
      <c r="B37" s="5" t="s">
        <v>40</v>
      </c>
      <c r="C37" s="5"/>
      <c r="D37" s="5"/>
      <c r="E37" s="7"/>
      <c r="F37" s="3" t="s">
        <v>41</v>
      </c>
      <c r="G37" s="5"/>
      <c r="H37" s="5"/>
      <c r="I37" s="5"/>
      <c r="J37" s="7"/>
    </row>
    <row r="38" spans="1:12">
      <c r="A38" s="8"/>
      <c r="B38" s="518" t="s">
        <v>384</v>
      </c>
      <c r="C38" s="518"/>
      <c r="D38" s="518"/>
      <c r="E38" s="10"/>
      <c r="F38" s="519" t="s">
        <v>182</v>
      </c>
      <c r="G38" s="518"/>
      <c r="H38" s="518"/>
      <c r="I38" s="518"/>
      <c r="J38" s="10"/>
    </row>
    <row r="39" spans="1:12">
      <c r="A39" s="8"/>
      <c r="B39" s="518" t="s">
        <v>181</v>
      </c>
      <c r="C39" s="518"/>
      <c r="D39" s="518"/>
      <c r="E39" s="10"/>
      <c r="F39" s="519" t="s">
        <v>58</v>
      </c>
      <c r="G39" s="518"/>
      <c r="H39" s="518"/>
      <c r="I39" s="518"/>
      <c r="J39" s="10"/>
      <c r="L39" s="24"/>
    </row>
    <row r="40" spans="1:12">
      <c r="A40" s="28"/>
      <c r="B40" s="527" t="s">
        <v>184</v>
      </c>
      <c r="C40" s="527"/>
      <c r="D40" s="527"/>
      <c r="E40" s="31"/>
      <c r="F40" s="526" t="s">
        <v>183</v>
      </c>
      <c r="G40" s="527"/>
      <c r="H40" s="527"/>
      <c r="I40" s="527"/>
      <c r="J40" s="31"/>
    </row>
    <row r="41" spans="1:12" ht="20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1" ht="20.100000000000001" customHeight="1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1" ht="21.75" customHeight="1">
      <c r="A61" s="520" t="s">
        <v>22</v>
      </c>
      <c r="B61" s="521"/>
      <c r="C61" s="521"/>
      <c r="D61" s="521"/>
      <c r="E61" s="521"/>
      <c r="F61" s="521"/>
      <c r="G61" s="522"/>
      <c r="H61" s="520" t="s">
        <v>23</v>
      </c>
      <c r="I61" s="521"/>
      <c r="J61" s="522"/>
      <c r="K61" s="1"/>
    </row>
    <row r="62" spans="1:11" ht="21.75" customHeight="1">
      <c r="A62" s="523" t="s">
        <v>24</v>
      </c>
      <c r="B62" s="524"/>
      <c r="C62" s="524"/>
      <c r="D62" s="524"/>
      <c r="E62" s="524"/>
      <c r="F62" s="524"/>
      <c r="G62" s="525"/>
      <c r="H62" s="526" t="s">
        <v>88</v>
      </c>
      <c r="I62" s="527"/>
      <c r="J62" s="528"/>
    </row>
    <row r="63" spans="1:11" ht="14.25" customHeight="1">
      <c r="A63" s="3"/>
      <c r="B63" s="4"/>
      <c r="C63" s="5"/>
      <c r="D63" s="6"/>
      <c r="E63" s="5"/>
      <c r="F63" s="5"/>
      <c r="G63" s="7"/>
      <c r="H63" s="529" t="s">
        <v>26</v>
      </c>
      <c r="I63" s="530"/>
      <c r="J63" s="531"/>
    </row>
    <row r="64" spans="1:11" ht="18.75" customHeight="1">
      <c r="A64" s="8"/>
      <c r="B64" s="9" t="s">
        <v>86</v>
      </c>
      <c r="C64" s="9"/>
      <c r="D64" s="9"/>
      <c r="E64" s="9"/>
      <c r="F64" s="9"/>
      <c r="G64" s="10"/>
      <c r="H64" s="11"/>
      <c r="I64" s="12">
        <v>6532376.5499999998</v>
      </c>
      <c r="J64" s="13"/>
    </row>
    <row r="65" spans="1:11" ht="17.25" customHeight="1">
      <c r="A65" s="8"/>
      <c r="B65" s="14" t="s">
        <v>27</v>
      </c>
      <c r="C65" s="9"/>
      <c r="D65" s="9"/>
      <c r="E65" s="9"/>
      <c r="F65" s="9"/>
      <c r="G65" s="10"/>
      <c r="H65" s="8"/>
      <c r="I65" s="9"/>
      <c r="J65" s="10"/>
    </row>
    <row r="66" spans="1:11" ht="16.5" customHeight="1">
      <c r="A66" s="8"/>
      <c r="B66" s="15" t="s">
        <v>28</v>
      </c>
      <c r="C66" s="16"/>
      <c r="D66" s="15" t="s">
        <v>29</v>
      </c>
      <c r="E66" s="16"/>
      <c r="F66" s="17" t="s">
        <v>30</v>
      </c>
      <c r="G66" s="10"/>
      <c r="H66" s="8"/>
      <c r="I66" s="9"/>
      <c r="J66" s="10"/>
    </row>
    <row r="67" spans="1:11" ht="16.5" customHeight="1">
      <c r="A67" s="8"/>
      <c r="B67" s="18" t="s">
        <v>31</v>
      </c>
      <c r="C67" s="9"/>
      <c r="D67" s="18" t="s">
        <v>31</v>
      </c>
      <c r="E67" s="9"/>
      <c r="F67" s="18" t="s">
        <v>32</v>
      </c>
      <c r="G67" s="10"/>
      <c r="H67" s="8"/>
      <c r="I67" s="9" t="s">
        <v>33</v>
      </c>
      <c r="J67" s="10"/>
    </row>
    <row r="68" spans="1:11" ht="16.5" customHeight="1">
      <c r="A68" s="8"/>
      <c r="B68" s="18" t="s">
        <v>31</v>
      </c>
      <c r="C68" s="9"/>
      <c r="D68" s="18" t="s">
        <v>31</v>
      </c>
      <c r="E68" s="9"/>
      <c r="F68" s="18" t="s">
        <v>32</v>
      </c>
      <c r="G68" s="10"/>
      <c r="H68" s="8"/>
      <c r="I68" s="9" t="s">
        <v>33</v>
      </c>
      <c r="J68" s="10"/>
    </row>
    <row r="69" spans="1:11">
      <c r="A69" s="8"/>
      <c r="B69" s="14" t="s">
        <v>34</v>
      </c>
      <c r="C69" s="9"/>
      <c r="D69" s="9"/>
      <c r="E69" s="9"/>
      <c r="F69" s="9"/>
      <c r="G69" s="10"/>
      <c r="H69" s="8"/>
      <c r="I69" s="9"/>
      <c r="J69" s="10"/>
    </row>
    <row r="70" spans="1:11" ht="18.899999999999999" customHeight="1">
      <c r="A70" s="8"/>
      <c r="B70" s="111" t="s">
        <v>35</v>
      </c>
      <c r="C70" s="9"/>
      <c r="D70" s="111" t="s">
        <v>36</v>
      </c>
      <c r="E70" s="9"/>
      <c r="F70" s="19" t="s">
        <v>30</v>
      </c>
      <c r="G70" s="10"/>
      <c r="H70" s="8"/>
      <c r="I70" s="9"/>
      <c r="J70" s="10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8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8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23">
        <v>12158.25</v>
      </c>
      <c r="J79" s="10"/>
      <c r="K79" s="24"/>
    </row>
    <row r="80" spans="1:11" ht="18.899999999999999" customHeight="1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899999999999999" customHeight="1">
      <c r="A81" s="8"/>
      <c r="B81" s="20"/>
      <c r="C81" s="9"/>
      <c r="D81" s="20"/>
      <c r="E81" s="9"/>
      <c r="F81" s="21"/>
      <c r="G81" s="22"/>
      <c r="H81" s="9"/>
      <c r="I81" s="23"/>
      <c r="J81" s="10"/>
      <c r="K81" s="24"/>
    </row>
    <row r="82" spans="1:12" ht="18.899999999999999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899999999999999" customHeight="1">
      <c r="A83" s="8"/>
      <c r="B83" s="20"/>
      <c r="C83" s="9"/>
      <c r="D83" s="20"/>
      <c r="E83" s="9"/>
      <c r="F83" s="21"/>
      <c r="G83" s="22"/>
      <c r="H83" s="9"/>
      <c r="I83" s="9"/>
      <c r="J83" s="10"/>
    </row>
    <row r="84" spans="1:12" ht="18.899999999999999" customHeight="1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899999999999999" customHeight="1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899999999999999" customHeight="1">
      <c r="A86" s="8"/>
      <c r="B86" s="20"/>
      <c r="C86" s="9"/>
      <c r="D86" s="20"/>
      <c r="E86" s="9"/>
      <c r="F86" s="25"/>
      <c r="G86" s="10"/>
      <c r="H86" s="9"/>
      <c r="I86" s="9"/>
      <c r="J86" s="10"/>
    </row>
    <row r="87" spans="1:12" ht="18.899999999999999" customHeight="1">
      <c r="A87" s="8"/>
      <c r="B87" s="20"/>
      <c r="C87" s="9"/>
      <c r="D87" s="20"/>
      <c r="E87" s="9"/>
      <c r="F87" s="25"/>
      <c r="G87" s="10"/>
      <c r="H87" s="9"/>
      <c r="I87" s="9"/>
      <c r="J87" s="10"/>
    </row>
    <row r="88" spans="1:12" ht="18.899999999999999" customHeight="1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899999999999999" customHeight="1">
      <c r="A89" s="8"/>
      <c r="B89" s="20"/>
      <c r="D89" s="20"/>
      <c r="F89" s="26"/>
      <c r="G89" s="10"/>
      <c r="I89" s="27"/>
      <c r="J89" s="10"/>
    </row>
    <row r="90" spans="1:12">
      <c r="A90" s="8"/>
      <c r="B90" s="14" t="s">
        <v>37</v>
      </c>
      <c r="C90" s="9"/>
      <c r="D90" s="9"/>
      <c r="E90" s="9"/>
      <c r="F90" s="9"/>
      <c r="G90" s="10"/>
      <c r="H90" s="8"/>
      <c r="I90" s="9"/>
      <c r="J90" s="10"/>
    </row>
    <row r="91" spans="1:12">
      <c r="A91" s="8"/>
      <c r="B91" s="14" t="s">
        <v>38</v>
      </c>
      <c r="C91" s="9"/>
      <c r="D91" s="9"/>
      <c r="E91" s="9"/>
      <c r="F91" s="9"/>
      <c r="G91" s="10"/>
      <c r="H91" s="8"/>
      <c r="I91" s="9"/>
      <c r="J91" s="10"/>
      <c r="L91" s="2">
        <f>SUM(L82)</f>
        <v>0</v>
      </c>
    </row>
    <row r="92" spans="1:12" ht="19.5" customHeight="1">
      <c r="A92" s="8"/>
      <c r="B92" s="18" t="s">
        <v>39</v>
      </c>
      <c r="C92" s="9"/>
      <c r="D92" s="18" t="s">
        <v>31</v>
      </c>
      <c r="E92" s="9"/>
      <c r="F92" s="18" t="s">
        <v>32</v>
      </c>
      <c r="G92" s="10"/>
      <c r="H92" s="8"/>
      <c r="I92" s="9" t="s">
        <v>33</v>
      </c>
      <c r="J92" s="10"/>
    </row>
    <row r="93" spans="1:12" ht="16.5" customHeight="1">
      <c r="A93" s="8"/>
      <c r="B93" s="18" t="s">
        <v>31</v>
      </c>
      <c r="C93" s="9"/>
      <c r="D93" s="18" t="s">
        <v>31</v>
      </c>
      <c r="E93" s="9"/>
      <c r="F93" s="18" t="s">
        <v>32</v>
      </c>
      <c r="G93" s="10"/>
      <c r="H93" s="8"/>
      <c r="I93" s="9" t="s">
        <v>33</v>
      </c>
      <c r="J93" s="10"/>
    </row>
    <row r="94" spans="1:12" ht="21.75" customHeight="1">
      <c r="A94" s="28"/>
      <c r="B94" s="29" t="s">
        <v>87</v>
      </c>
      <c r="C94" s="29"/>
      <c r="D94" s="29"/>
      <c r="E94" s="29"/>
      <c r="F94" s="29"/>
      <c r="G94" s="31"/>
      <c r="H94" s="28"/>
      <c r="I94" s="12">
        <v>6520225.8099999996</v>
      </c>
      <c r="J94" s="30"/>
    </row>
    <row r="95" spans="1:12" ht="32.25" customHeight="1">
      <c r="A95" s="8"/>
      <c r="B95" s="9" t="s">
        <v>40</v>
      </c>
      <c r="C95" s="9"/>
      <c r="D95" s="9"/>
      <c r="E95" s="9"/>
      <c r="F95" s="3" t="s">
        <v>41</v>
      </c>
      <c r="G95" s="5"/>
      <c r="H95" s="5"/>
      <c r="I95" s="5"/>
      <c r="J95" s="7"/>
    </row>
    <row r="96" spans="1:12">
      <c r="A96" s="8"/>
      <c r="B96" s="9" t="s">
        <v>42</v>
      </c>
      <c r="C96" s="9"/>
      <c r="D96" s="9" t="s">
        <v>43</v>
      </c>
      <c r="E96" s="9"/>
      <c r="F96" s="8" t="s">
        <v>83</v>
      </c>
      <c r="G96" s="9"/>
      <c r="I96" s="9" t="s">
        <v>84</v>
      </c>
      <c r="J96" s="10"/>
    </row>
    <row r="97" spans="1:11" ht="27" customHeight="1">
      <c r="A97" s="28"/>
      <c r="B97" s="29" t="s">
        <v>44</v>
      </c>
      <c r="C97" s="29"/>
      <c r="D97" s="29"/>
      <c r="E97" s="29"/>
      <c r="F97" s="28" t="s">
        <v>45</v>
      </c>
      <c r="G97" s="29"/>
      <c r="H97" s="29"/>
      <c r="I97" s="29"/>
      <c r="J97" s="31"/>
    </row>
    <row r="98" spans="1:11" ht="21.75" customHeight="1">
      <c r="A98" s="520" t="s">
        <v>22</v>
      </c>
      <c r="B98" s="521"/>
      <c r="C98" s="521"/>
      <c r="D98" s="521"/>
      <c r="E98" s="521"/>
      <c r="F98" s="521"/>
      <c r="G98" s="522"/>
      <c r="H98" s="520" t="s">
        <v>23</v>
      </c>
      <c r="I98" s="521"/>
      <c r="J98" s="522"/>
      <c r="K98" s="1"/>
    </row>
    <row r="99" spans="1:11" ht="21.75" customHeight="1">
      <c r="A99" s="523" t="s">
        <v>24</v>
      </c>
      <c r="B99" s="524"/>
      <c r="C99" s="524"/>
      <c r="D99" s="524"/>
      <c r="E99" s="524"/>
      <c r="F99" s="524"/>
      <c r="G99" s="525"/>
      <c r="H99" s="526" t="s">
        <v>25</v>
      </c>
      <c r="I99" s="527"/>
      <c r="J99" s="528"/>
    </row>
    <row r="100" spans="1:11" ht="14.25" customHeight="1">
      <c r="A100" s="3"/>
      <c r="B100" s="4"/>
      <c r="C100" s="5"/>
      <c r="D100" s="6"/>
      <c r="E100" s="5"/>
      <c r="F100" s="5"/>
      <c r="G100" s="7"/>
      <c r="H100" s="529" t="s">
        <v>26</v>
      </c>
      <c r="I100" s="530"/>
      <c r="J100" s="531"/>
    </row>
    <row r="101" spans="1:11" ht="18.75" customHeight="1">
      <c r="A101" s="8"/>
      <c r="B101" s="9" t="s">
        <v>90</v>
      </c>
      <c r="C101" s="9"/>
      <c r="D101" s="9"/>
      <c r="E101" s="9"/>
      <c r="F101" s="9"/>
      <c r="G101" s="10"/>
      <c r="H101" s="11"/>
      <c r="I101" s="12">
        <v>8889423.5899999999</v>
      </c>
      <c r="J101" s="13"/>
    </row>
    <row r="102" spans="1:11" ht="17.25" customHeight="1">
      <c r="A102" s="8"/>
      <c r="B102" s="14" t="s">
        <v>27</v>
      </c>
      <c r="C102" s="9"/>
      <c r="D102" s="9"/>
      <c r="E102" s="9"/>
      <c r="F102" s="9"/>
      <c r="G102" s="10"/>
      <c r="H102" s="8"/>
      <c r="I102" s="9"/>
      <c r="J102" s="10"/>
    </row>
    <row r="103" spans="1:11" ht="16.5" customHeight="1">
      <c r="A103" s="8"/>
      <c r="B103" s="15" t="s">
        <v>28</v>
      </c>
      <c r="C103" s="16"/>
      <c r="D103" s="15" t="s">
        <v>29</v>
      </c>
      <c r="E103" s="16"/>
      <c r="F103" s="17" t="s">
        <v>30</v>
      </c>
      <c r="G103" s="10"/>
      <c r="H103" s="8"/>
      <c r="I103" s="9"/>
      <c r="J103" s="10"/>
    </row>
    <row r="104" spans="1:11" ht="16.5" customHeight="1">
      <c r="A104" s="8"/>
      <c r="B104" s="18" t="s">
        <v>31</v>
      </c>
      <c r="C104" s="9"/>
      <c r="D104" s="18" t="s">
        <v>31</v>
      </c>
      <c r="E104" s="9"/>
      <c r="F104" s="18" t="s">
        <v>32</v>
      </c>
      <c r="G104" s="10"/>
      <c r="H104" s="8"/>
      <c r="I104" s="9" t="s">
        <v>33</v>
      </c>
      <c r="J104" s="10"/>
    </row>
    <row r="105" spans="1:11" ht="16.5" customHeight="1">
      <c r="A105" s="8"/>
      <c r="B105" s="18" t="s">
        <v>31</v>
      </c>
      <c r="C105" s="9"/>
      <c r="D105" s="18" t="s">
        <v>31</v>
      </c>
      <c r="E105" s="9"/>
      <c r="F105" s="18" t="s">
        <v>32</v>
      </c>
      <c r="G105" s="10"/>
      <c r="H105" s="8"/>
      <c r="I105" s="9" t="s">
        <v>33</v>
      </c>
      <c r="J105" s="10"/>
    </row>
    <row r="106" spans="1:11">
      <c r="A106" s="8"/>
      <c r="B106" s="14" t="s">
        <v>34</v>
      </c>
      <c r="C106" s="9"/>
      <c r="D106" s="9"/>
      <c r="E106" s="9"/>
      <c r="F106" s="9"/>
      <c r="G106" s="10"/>
      <c r="H106" s="8"/>
      <c r="I106" s="9"/>
      <c r="J106" s="10"/>
    </row>
    <row r="107" spans="1:11" ht="18.899999999999999" customHeight="1">
      <c r="A107" s="8"/>
      <c r="B107" s="111" t="s">
        <v>35</v>
      </c>
      <c r="C107" s="9"/>
      <c r="D107" s="111" t="s">
        <v>36</v>
      </c>
      <c r="E107" s="9"/>
      <c r="F107" s="19" t="s">
        <v>30</v>
      </c>
      <c r="G107" s="10"/>
      <c r="H107" s="8"/>
      <c r="I107" s="9"/>
      <c r="J107" s="10"/>
    </row>
    <row r="108" spans="1:11" ht="18.899999999999999" customHeight="1">
      <c r="A108" s="8"/>
      <c r="B108" s="20" t="s">
        <v>85</v>
      </c>
      <c r="C108" s="9"/>
      <c r="D108" s="111" t="s">
        <v>89</v>
      </c>
      <c r="E108" s="9"/>
      <c r="F108" s="21">
        <v>450</v>
      </c>
      <c r="G108" s="22"/>
      <c r="H108" s="8"/>
      <c r="I108" s="23"/>
      <c r="J108" s="10"/>
      <c r="K108" s="24"/>
    </row>
    <row r="109" spans="1:11" ht="18.899999999999999" customHeight="1">
      <c r="A109" s="8"/>
      <c r="B109" s="20" t="s">
        <v>91</v>
      </c>
      <c r="C109" s="9"/>
      <c r="D109" s="111" t="s">
        <v>95</v>
      </c>
      <c r="E109" s="9"/>
      <c r="F109" s="21">
        <v>4084</v>
      </c>
      <c r="G109" s="22"/>
      <c r="H109" s="8"/>
      <c r="I109" s="23"/>
      <c r="J109" s="10"/>
      <c r="K109" s="24"/>
    </row>
    <row r="110" spans="1:11" ht="18.899999999999999" customHeight="1">
      <c r="A110" s="8"/>
      <c r="B110" s="20" t="s">
        <v>91</v>
      </c>
      <c r="C110" s="9"/>
      <c r="D110" s="111" t="s">
        <v>96</v>
      </c>
      <c r="E110" s="9"/>
      <c r="F110" s="21">
        <v>5517.95</v>
      </c>
      <c r="G110" s="22"/>
      <c r="H110" s="8"/>
      <c r="I110" s="23"/>
      <c r="J110" s="10"/>
      <c r="K110" s="24"/>
    </row>
    <row r="111" spans="1:11" ht="18.899999999999999" customHeight="1">
      <c r="A111" s="8"/>
      <c r="B111" s="20" t="s">
        <v>91</v>
      </c>
      <c r="C111" s="9"/>
      <c r="D111" s="111" t="s">
        <v>96</v>
      </c>
      <c r="E111" s="9"/>
      <c r="F111" s="21">
        <v>400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91</v>
      </c>
      <c r="D112" s="111" t="s">
        <v>96</v>
      </c>
      <c r="F112" s="26">
        <v>2555.89</v>
      </c>
      <c r="G112" s="10"/>
      <c r="I112" s="27"/>
      <c r="J112" s="10"/>
    </row>
    <row r="113" spans="1:12" ht="18.899999999999999" customHeight="1">
      <c r="A113" s="8"/>
      <c r="B113" s="20" t="s">
        <v>92</v>
      </c>
      <c r="C113" s="9"/>
      <c r="D113" s="111" t="s">
        <v>97</v>
      </c>
      <c r="E113" s="9"/>
      <c r="F113" s="21">
        <v>1050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92</v>
      </c>
      <c r="C114" s="9"/>
      <c r="D114" s="111" t="s">
        <v>98</v>
      </c>
      <c r="E114" s="9"/>
      <c r="F114" s="21">
        <v>1300</v>
      </c>
      <c r="G114" s="22"/>
      <c r="H114" s="9"/>
      <c r="I114" s="23"/>
      <c r="J114" s="10"/>
      <c r="K114" s="24"/>
    </row>
    <row r="115" spans="1:12" ht="18.899999999999999" customHeight="1">
      <c r="A115" s="8"/>
      <c r="B115" s="20" t="s">
        <v>92</v>
      </c>
      <c r="C115" s="9"/>
      <c r="D115" s="111" t="s">
        <v>99</v>
      </c>
      <c r="E115" s="9"/>
      <c r="F115" s="21">
        <v>1200</v>
      </c>
      <c r="G115" s="22"/>
      <c r="H115" s="9"/>
      <c r="I115" s="23"/>
      <c r="J115" s="10"/>
      <c r="K115" s="24"/>
    </row>
    <row r="116" spans="1:12" ht="18.899999999999999" customHeight="1">
      <c r="A116" s="8"/>
      <c r="B116" s="20" t="s">
        <v>92</v>
      </c>
      <c r="C116" s="9"/>
      <c r="D116" s="111" t="s">
        <v>100</v>
      </c>
      <c r="E116" s="9"/>
      <c r="F116" s="21">
        <v>29447.200000000001</v>
      </c>
      <c r="G116" s="22"/>
      <c r="H116" s="9"/>
      <c r="I116" s="23"/>
      <c r="J116" s="10"/>
      <c r="K116" s="24"/>
    </row>
    <row r="117" spans="1:12" ht="18.899999999999999" customHeight="1">
      <c r="A117" s="8"/>
      <c r="B117" s="20" t="s">
        <v>93</v>
      </c>
      <c r="C117" s="9"/>
      <c r="D117" s="111" t="s">
        <v>101</v>
      </c>
      <c r="E117" s="9"/>
      <c r="F117" s="21">
        <v>6395.4</v>
      </c>
      <c r="G117" s="22"/>
      <c r="H117" s="9"/>
      <c r="I117" s="23"/>
      <c r="J117" s="10"/>
      <c r="K117" s="24"/>
    </row>
    <row r="118" spans="1:12" ht="18.899999999999999" customHeight="1">
      <c r="A118" s="8"/>
      <c r="B118" s="20" t="s">
        <v>93</v>
      </c>
      <c r="C118" s="9"/>
      <c r="D118" s="111" t="s">
        <v>103</v>
      </c>
      <c r="E118" s="9"/>
      <c r="F118" s="21">
        <v>4284.33</v>
      </c>
      <c r="G118" s="22"/>
      <c r="H118" s="9"/>
      <c r="I118" s="59"/>
      <c r="J118" s="10"/>
      <c r="K118" s="24"/>
    </row>
    <row r="119" spans="1:12" ht="18.899999999999999" customHeight="1">
      <c r="A119" s="8"/>
      <c r="B119" s="20" t="s">
        <v>93</v>
      </c>
      <c r="C119" s="9"/>
      <c r="D119" s="111" t="s">
        <v>103</v>
      </c>
      <c r="E119" s="9"/>
      <c r="F119" s="21">
        <v>20256.560000000001</v>
      </c>
      <c r="G119" s="22"/>
      <c r="H119" s="9"/>
      <c r="I119" s="23"/>
      <c r="J119" s="10"/>
      <c r="K119" s="24"/>
    </row>
    <row r="120" spans="1:12" ht="18.899999999999999" customHeight="1">
      <c r="A120" s="8"/>
      <c r="B120" s="20" t="s">
        <v>93</v>
      </c>
      <c r="C120" s="9"/>
      <c r="D120" s="111" t="s">
        <v>104</v>
      </c>
      <c r="E120" s="9"/>
      <c r="F120" s="21">
        <v>10897.92</v>
      </c>
      <c r="G120" s="22"/>
      <c r="H120" s="9"/>
      <c r="I120" s="9"/>
      <c r="J120" s="10"/>
    </row>
    <row r="121" spans="1:12" ht="18.899999999999999" customHeight="1">
      <c r="A121" s="8"/>
      <c r="B121" s="20" t="s">
        <v>93</v>
      </c>
      <c r="C121" s="9"/>
      <c r="D121" s="111" t="s">
        <v>105</v>
      </c>
      <c r="E121" s="9"/>
      <c r="F121" s="21">
        <v>4128</v>
      </c>
      <c r="G121" s="22"/>
      <c r="H121" s="9"/>
      <c r="I121" s="9"/>
      <c r="J121" s="10"/>
    </row>
    <row r="122" spans="1:12" ht="18.899999999999999" customHeight="1">
      <c r="A122" s="8"/>
      <c r="B122" s="20" t="s">
        <v>93</v>
      </c>
      <c r="C122" s="9"/>
      <c r="D122" s="111" t="s">
        <v>106</v>
      </c>
      <c r="E122" s="9"/>
      <c r="F122" s="21">
        <v>600</v>
      </c>
      <c r="G122" s="22"/>
      <c r="H122" s="9"/>
      <c r="I122" s="9"/>
      <c r="J122" s="10"/>
      <c r="L122" s="2">
        <v>119520</v>
      </c>
    </row>
    <row r="123" spans="1:12" ht="18.899999999999999" customHeight="1">
      <c r="A123" s="8"/>
      <c r="B123" s="20" t="s">
        <v>93</v>
      </c>
      <c r="C123" s="9"/>
      <c r="D123" s="111" t="s">
        <v>107</v>
      </c>
      <c r="E123" s="9"/>
      <c r="F123" s="21">
        <v>6784</v>
      </c>
      <c r="G123" s="22"/>
      <c r="H123" s="9"/>
      <c r="I123" s="9"/>
      <c r="J123" s="10"/>
      <c r="L123" s="2">
        <v>4500</v>
      </c>
    </row>
    <row r="124" spans="1:12" ht="18.899999999999999" customHeight="1">
      <c r="A124" s="8"/>
      <c r="B124" s="20" t="s">
        <v>93</v>
      </c>
      <c r="C124" s="9"/>
      <c r="D124" s="111" t="s">
        <v>108</v>
      </c>
      <c r="E124" s="9"/>
      <c r="F124" s="25">
        <v>1862.43</v>
      </c>
      <c r="G124" s="10"/>
      <c r="H124" s="9"/>
      <c r="I124" s="9"/>
      <c r="J124" s="10"/>
      <c r="L124" s="2">
        <v>1250</v>
      </c>
    </row>
    <row r="125" spans="1:12" ht="18.899999999999999" customHeight="1">
      <c r="A125" s="8"/>
      <c r="B125" s="20" t="s">
        <v>93</v>
      </c>
      <c r="C125" s="9"/>
      <c r="D125" s="111" t="s">
        <v>109</v>
      </c>
      <c r="E125" s="9"/>
      <c r="F125" s="25">
        <v>8202.6200000000008</v>
      </c>
      <c r="G125" s="10"/>
      <c r="H125" s="9"/>
      <c r="I125" s="9"/>
      <c r="J125" s="10"/>
    </row>
    <row r="126" spans="1:12" ht="18.899999999999999" customHeight="1">
      <c r="A126" s="8"/>
      <c r="B126" s="20" t="s">
        <v>94</v>
      </c>
      <c r="C126" s="9"/>
      <c r="D126" s="111" t="s">
        <v>110</v>
      </c>
      <c r="E126" s="9"/>
      <c r="F126" s="25">
        <v>177772.9</v>
      </c>
      <c r="G126" s="10"/>
      <c r="H126" s="9"/>
      <c r="I126" s="58">
        <f>F108+F109+F110+F111+F112+F113+F114+F115+F116+F117+F118+F119+F120+F121+F122+F123+F124+F125+F126+F127</f>
        <v>287189.19999999995</v>
      </c>
      <c r="J126" s="10"/>
    </row>
    <row r="127" spans="1:12">
      <c r="A127" s="8"/>
      <c r="B127" s="14" t="s">
        <v>37</v>
      </c>
      <c r="C127" s="9"/>
      <c r="D127" s="9"/>
      <c r="E127" s="9"/>
      <c r="F127" s="58"/>
      <c r="G127" s="10"/>
      <c r="H127" s="8"/>
      <c r="I127" s="9"/>
      <c r="J127" s="10"/>
    </row>
    <row r="128" spans="1:12" ht="17.25" customHeight="1">
      <c r="A128" s="8"/>
      <c r="B128" s="14" t="s">
        <v>38</v>
      </c>
      <c r="C128" s="9"/>
      <c r="D128" s="9"/>
      <c r="E128" s="9"/>
      <c r="F128" s="9"/>
      <c r="G128" s="10"/>
      <c r="H128" s="8"/>
      <c r="I128" s="9"/>
      <c r="J128" s="10"/>
      <c r="L128" s="2">
        <f>SUM(L120)</f>
        <v>0</v>
      </c>
    </row>
    <row r="129" spans="1:11" ht="19.5" customHeight="1">
      <c r="A129" s="8"/>
      <c r="B129" s="18"/>
      <c r="C129" s="9"/>
      <c r="D129" s="18"/>
      <c r="E129" s="9"/>
      <c r="F129" s="18"/>
      <c r="G129" s="10"/>
      <c r="H129" s="8"/>
      <c r="I129" s="9"/>
      <c r="J129" s="10"/>
    </row>
    <row r="130" spans="1:11" ht="18.899999999999999" customHeight="1">
      <c r="A130" s="8"/>
      <c r="B130" s="111" t="s">
        <v>35</v>
      </c>
      <c r="C130" s="9"/>
      <c r="D130" s="111" t="s">
        <v>36</v>
      </c>
      <c r="E130" s="9"/>
      <c r="F130" s="19" t="s">
        <v>30</v>
      </c>
      <c r="G130" s="10"/>
      <c r="H130" s="8"/>
      <c r="I130" s="9"/>
      <c r="J130" s="10"/>
    </row>
    <row r="131" spans="1:11" ht="16.5" customHeight="1">
      <c r="A131" s="8"/>
      <c r="B131" s="20" t="s">
        <v>92</v>
      </c>
      <c r="C131" s="9"/>
      <c r="D131" s="111" t="s">
        <v>102</v>
      </c>
      <c r="E131" s="9"/>
      <c r="F131" s="25">
        <v>2</v>
      </c>
      <c r="G131" s="10"/>
      <c r="H131" s="8"/>
      <c r="I131" s="25">
        <v>2</v>
      </c>
      <c r="J131" s="10"/>
    </row>
    <row r="132" spans="1:11" ht="21.75" customHeight="1">
      <c r="A132" s="28"/>
      <c r="B132" s="29" t="s">
        <v>111</v>
      </c>
      <c r="C132" s="29"/>
      <c r="D132" s="29"/>
      <c r="E132" s="29"/>
      <c r="F132" s="29"/>
      <c r="G132" s="31"/>
      <c r="H132" s="28"/>
      <c r="I132" s="12">
        <v>8602232.3900000006</v>
      </c>
      <c r="J132" s="30"/>
    </row>
    <row r="133" spans="1:11" ht="32.25" customHeight="1">
      <c r="A133" s="3"/>
      <c r="B133" s="5" t="s">
        <v>40</v>
      </c>
      <c r="C133" s="5"/>
      <c r="D133" s="5"/>
      <c r="E133" s="5"/>
      <c r="F133" s="3" t="s">
        <v>41</v>
      </c>
      <c r="G133" s="5"/>
      <c r="H133" s="5"/>
      <c r="I133" s="5"/>
      <c r="J133" s="7"/>
    </row>
    <row r="134" spans="1:11">
      <c r="A134" s="8"/>
      <c r="B134" s="9" t="s">
        <v>42</v>
      </c>
      <c r="C134" s="9"/>
      <c r="D134" s="9" t="s">
        <v>43</v>
      </c>
      <c r="E134" s="10"/>
      <c r="F134" s="8" t="s">
        <v>83</v>
      </c>
      <c r="G134" s="9"/>
      <c r="H134" s="9"/>
      <c r="I134" s="9" t="s">
        <v>84</v>
      </c>
      <c r="J134" s="10"/>
    </row>
    <row r="135" spans="1:11" ht="7.5" customHeight="1">
      <c r="A135" s="28"/>
      <c r="B135" s="29"/>
      <c r="C135" s="29"/>
      <c r="D135" s="29"/>
      <c r="E135" s="31"/>
      <c r="F135" s="28"/>
      <c r="G135" s="29"/>
      <c r="H135" s="29"/>
      <c r="I135" s="29"/>
      <c r="J135" s="31"/>
    </row>
    <row r="136" spans="1:11" ht="21.75" customHeight="1">
      <c r="A136" s="520" t="s">
        <v>22</v>
      </c>
      <c r="B136" s="521"/>
      <c r="C136" s="521"/>
      <c r="D136" s="521"/>
      <c r="E136" s="521"/>
      <c r="F136" s="521"/>
      <c r="G136" s="522"/>
      <c r="H136" s="520" t="s">
        <v>23</v>
      </c>
      <c r="I136" s="521"/>
      <c r="J136" s="522"/>
      <c r="K136" s="1"/>
    </row>
    <row r="137" spans="1:11" ht="21.75" customHeight="1">
      <c r="A137" s="523" t="s">
        <v>24</v>
      </c>
      <c r="B137" s="524"/>
      <c r="C137" s="524"/>
      <c r="D137" s="524"/>
      <c r="E137" s="524"/>
      <c r="F137" s="524"/>
      <c r="G137" s="525"/>
      <c r="H137" s="526" t="s">
        <v>88</v>
      </c>
      <c r="I137" s="527"/>
      <c r="J137" s="528"/>
    </row>
    <row r="138" spans="1:11" ht="14.25" customHeight="1">
      <c r="A138" s="3"/>
      <c r="B138" s="4"/>
      <c r="C138" s="5"/>
      <c r="D138" s="6"/>
      <c r="E138" s="5"/>
      <c r="F138" s="5"/>
      <c r="G138" s="7"/>
      <c r="H138" s="529" t="s">
        <v>26</v>
      </c>
      <c r="I138" s="530"/>
      <c r="J138" s="531"/>
    </row>
    <row r="139" spans="1:11" ht="18.75" customHeight="1">
      <c r="A139" s="8"/>
      <c r="B139" s="9" t="s">
        <v>86</v>
      </c>
      <c r="C139" s="9"/>
      <c r="D139" s="9"/>
      <c r="E139" s="9"/>
      <c r="F139" s="9"/>
      <c r="G139" s="10"/>
      <c r="H139" s="11"/>
      <c r="I139" s="12">
        <v>6532376.5499999998</v>
      </c>
      <c r="J139" s="13"/>
    </row>
    <row r="140" spans="1:11" ht="17.25" customHeight="1">
      <c r="A140" s="8"/>
      <c r="B140" s="14" t="s">
        <v>27</v>
      </c>
      <c r="C140" s="9"/>
      <c r="D140" s="9"/>
      <c r="E140" s="9"/>
      <c r="F140" s="9"/>
      <c r="G140" s="10"/>
      <c r="H140" s="8"/>
      <c r="I140" s="9"/>
      <c r="J140" s="10"/>
    </row>
    <row r="141" spans="1:11" ht="16.5" customHeight="1">
      <c r="A141" s="8"/>
      <c r="B141" s="15" t="s">
        <v>28</v>
      </c>
      <c r="C141" s="16"/>
      <c r="D141" s="15" t="s">
        <v>29</v>
      </c>
      <c r="E141" s="16"/>
      <c r="F141" s="17" t="s">
        <v>30</v>
      </c>
      <c r="G141" s="10"/>
      <c r="H141" s="8"/>
      <c r="I141" s="9"/>
      <c r="J141" s="10"/>
    </row>
    <row r="142" spans="1:11" ht="16.5" customHeight="1">
      <c r="A142" s="8"/>
      <c r="B142" s="18" t="s">
        <v>31</v>
      </c>
      <c r="C142" s="9"/>
      <c r="D142" s="18" t="s">
        <v>31</v>
      </c>
      <c r="E142" s="9"/>
      <c r="F142" s="18" t="s">
        <v>32</v>
      </c>
      <c r="G142" s="10"/>
      <c r="H142" s="8"/>
      <c r="I142" s="9" t="s">
        <v>33</v>
      </c>
      <c r="J142" s="10"/>
    </row>
    <row r="143" spans="1:11" ht="16.5" customHeight="1">
      <c r="A143" s="8"/>
      <c r="B143" s="18" t="s">
        <v>31</v>
      </c>
      <c r="C143" s="9"/>
      <c r="D143" s="18" t="s">
        <v>31</v>
      </c>
      <c r="E143" s="9"/>
      <c r="F143" s="18" t="s">
        <v>32</v>
      </c>
      <c r="G143" s="10"/>
      <c r="H143" s="8"/>
      <c r="I143" s="9" t="s">
        <v>33</v>
      </c>
      <c r="J143" s="10"/>
    </row>
    <row r="144" spans="1:11">
      <c r="A144" s="8"/>
      <c r="B144" s="14" t="s">
        <v>34</v>
      </c>
      <c r="C144" s="9"/>
      <c r="D144" s="9"/>
      <c r="E144" s="9"/>
      <c r="F144" s="9"/>
      <c r="G144" s="10"/>
      <c r="H144" s="8"/>
      <c r="I144" s="9"/>
      <c r="J144" s="10"/>
    </row>
    <row r="145" spans="1:11" ht="18.899999999999999" customHeight="1">
      <c r="A145" s="8"/>
      <c r="B145" s="111" t="s">
        <v>35</v>
      </c>
      <c r="C145" s="9"/>
      <c r="D145" s="111" t="s">
        <v>36</v>
      </c>
      <c r="E145" s="9"/>
      <c r="F145" s="19" t="s">
        <v>30</v>
      </c>
      <c r="G145" s="10"/>
      <c r="H145" s="8"/>
      <c r="I145" s="9"/>
      <c r="J145" s="10"/>
    </row>
    <row r="146" spans="1:11" ht="18.899999999999999" customHeight="1">
      <c r="A146" s="8"/>
      <c r="B146" s="20"/>
      <c r="C146" s="9"/>
      <c r="D146" s="20"/>
      <c r="E146" s="9"/>
      <c r="F146" s="21"/>
      <c r="G146" s="22"/>
      <c r="H146" s="8"/>
      <c r="I146" s="23"/>
      <c r="J146" s="10"/>
      <c r="K146" s="24"/>
    </row>
    <row r="147" spans="1:11" ht="18.899999999999999" customHeight="1">
      <c r="A147" s="8"/>
      <c r="B147" s="20"/>
      <c r="C147" s="9"/>
      <c r="D147" s="20"/>
      <c r="E147" s="9"/>
      <c r="F147" s="21"/>
      <c r="G147" s="22"/>
      <c r="H147" s="8"/>
      <c r="I147" s="23"/>
      <c r="J147" s="10"/>
      <c r="K147" s="24"/>
    </row>
    <row r="148" spans="1:11" ht="18.899999999999999" customHeight="1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899999999999999" customHeight="1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899999999999999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899999999999999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899999999999999" customHeight="1">
      <c r="A154" s="8"/>
      <c r="B154" s="20"/>
      <c r="C154" s="9"/>
      <c r="D154" s="20"/>
      <c r="E154" s="9"/>
      <c r="F154" s="21"/>
      <c r="G154" s="22"/>
      <c r="H154" s="9"/>
      <c r="I154" s="23">
        <v>12158.25</v>
      </c>
      <c r="J154" s="10"/>
      <c r="K154" s="24"/>
    </row>
    <row r="155" spans="1:11" ht="18.899999999999999" customHeight="1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899999999999999" customHeight="1">
      <c r="A156" s="8"/>
      <c r="B156" s="20"/>
      <c r="C156" s="9"/>
      <c r="D156" s="20"/>
      <c r="E156" s="9"/>
      <c r="F156" s="21"/>
      <c r="G156" s="22"/>
      <c r="H156" s="9"/>
      <c r="I156" s="23"/>
      <c r="J156" s="10"/>
      <c r="K156" s="24"/>
    </row>
    <row r="157" spans="1:11" ht="18.899999999999999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899999999999999" customHeight="1">
      <c r="A158" s="8"/>
      <c r="B158" s="20"/>
      <c r="C158" s="9"/>
      <c r="D158" s="20"/>
      <c r="E158" s="9"/>
      <c r="F158" s="21"/>
      <c r="G158" s="22"/>
      <c r="H158" s="9"/>
      <c r="I158" s="9"/>
      <c r="J158" s="10"/>
    </row>
    <row r="159" spans="1:11" ht="18.899999999999999" customHeight="1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899999999999999" customHeight="1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899999999999999" customHeight="1">
      <c r="A161" s="8"/>
      <c r="B161" s="20"/>
      <c r="C161" s="9"/>
      <c r="D161" s="20"/>
      <c r="E161" s="9"/>
      <c r="F161" s="25"/>
      <c r="G161" s="10"/>
      <c r="H161" s="9"/>
      <c r="I161" s="9"/>
      <c r="J161" s="10"/>
    </row>
    <row r="162" spans="1:12" ht="18.899999999999999" customHeight="1">
      <c r="A162" s="8"/>
      <c r="B162" s="20"/>
      <c r="C162" s="9"/>
      <c r="D162" s="20"/>
      <c r="E162" s="9"/>
      <c r="F162" s="25"/>
      <c r="G162" s="10"/>
      <c r="H162" s="9"/>
      <c r="I162" s="9"/>
      <c r="J162" s="10"/>
    </row>
    <row r="163" spans="1:12" ht="18.899999999999999" customHeight="1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899999999999999" customHeight="1">
      <c r="A164" s="8"/>
      <c r="B164" s="20"/>
      <c r="D164" s="20"/>
      <c r="F164" s="26"/>
      <c r="G164" s="10"/>
      <c r="I164" s="27"/>
      <c r="J164" s="10"/>
    </row>
    <row r="165" spans="1:12">
      <c r="A165" s="8"/>
      <c r="B165" s="14" t="s">
        <v>37</v>
      </c>
      <c r="C165" s="9"/>
      <c r="D165" s="9"/>
      <c r="E165" s="9"/>
      <c r="F165" s="9"/>
      <c r="G165" s="10"/>
      <c r="H165" s="8"/>
      <c r="I165" s="9"/>
      <c r="J165" s="10"/>
    </row>
    <row r="166" spans="1:12">
      <c r="A166" s="8"/>
      <c r="B166" s="14" t="s">
        <v>38</v>
      </c>
      <c r="C166" s="9"/>
      <c r="D166" s="9"/>
      <c r="E166" s="9"/>
      <c r="F166" s="9"/>
      <c r="G166" s="10"/>
      <c r="H166" s="8"/>
      <c r="I166" s="9"/>
      <c r="J166" s="10"/>
      <c r="L166" s="2">
        <f>SUM(L157)</f>
        <v>0</v>
      </c>
    </row>
    <row r="167" spans="1:12" ht="19.5" customHeight="1">
      <c r="A167" s="8"/>
      <c r="B167" s="18" t="s">
        <v>39</v>
      </c>
      <c r="C167" s="9"/>
      <c r="D167" s="18" t="s">
        <v>31</v>
      </c>
      <c r="E167" s="9"/>
      <c r="F167" s="18" t="s">
        <v>32</v>
      </c>
      <c r="G167" s="10"/>
      <c r="H167" s="8"/>
      <c r="I167" s="9" t="s">
        <v>33</v>
      </c>
      <c r="J167" s="10"/>
    </row>
    <row r="168" spans="1:12" ht="16.5" customHeight="1">
      <c r="A168" s="8"/>
      <c r="B168" s="18" t="s">
        <v>31</v>
      </c>
      <c r="C168" s="9"/>
      <c r="D168" s="18" t="s">
        <v>31</v>
      </c>
      <c r="E168" s="9"/>
      <c r="F168" s="18" t="s">
        <v>32</v>
      </c>
      <c r="G168" s="10"/>
      <c r="H168" s="8"/>
      <c r="I168" s="9" t="s">
        <v>33</v>
      </c>
      <c r="J168" s="10"/>
    </row>
    <row r="169" spans="1:12" ht="21.75" customHeight="1">
      <c r="A169" s="28"/>
      <c r="B169" s="29" t="s">
        <v>87</v>
      </c>
      <c r="C169" s="29"/>
      <c r="D169" s="29"/>
      <c r="E169" s="29"/>
      <c r="F169" s="29"/>
      <c r="G169" s="31"/>
      <c r="H169" s="28"/>
      <c r="I169" s="12">
        <v>6520225.8099999996</v>
      </c>
      <c r="J169" s="30"/>
    </row>
    <row r="170" spans="1:12" ht="32.25" customHeight="1">
      <c r="A170" s="8"/>
      <c r="B170" s="9" t="s">
        <v>40</v>
      </c>
      <c r="C170" s="9"/>
      <c r="D170" s="9"/>
      <c r="E170" s="9"/>
      <c r="F170" s="3" t="s">
        <v>41</v>
      </c>
      <c r="G170" s="5"/>
      <c r="H170" s="5"/>
      <c r="I170" s="5"/>
      <c r="J170" s="7"/>
    </row>
    <row r="171" spans="1:12">
      <c r="A171" s="8"/>
      <c r="B171" s="9" t="s">
        <v>42</v>
      </c>
      <c r="C171" s="9"/>
      <c r="D171" s="9" t="s">
        <v>43</v>
      </c>
      <c r="E171" s="9"/>
      <c r="F171" s="8" t="s">
        <v>83</v>
      </c>
      <c r="G171" s="9"/>
      <c r="I171" s="9" t="s">
        <v>84</v>
      </c>
      <c r="J171" s="10"/>
    </row>
    <row r="172" spans="1:12" ht="27" customHeight="1">
      <c r="A172" s="28"/>
      <c r="B172" s="29" t="s">
        <v>44</v>
      </c>
      <c r="C172" s="29"/>
      <c r="D172" s="29"/>
      <c r="E172" s="29"/>
      <c r="F172" s="28" t="s">
        <v>45</v>
      </c>
      <c r="G172" s="29"/>
      <c r="H172" s="29"/>
      <c r="I172" s="29"/>
      <c r="J172" s="31"/>
    </row>
  </sheetData>
  <mergeCells count="28">
    <mergeCell ref="H138:J138"/>
    <mergeCell ref="A62:G62"/>
    <mergeCell ref="H62:J62"/>
    <mergeCell ref="H63:J63"/>
    <mergeCell ref="A98:G98"/>
    <mergeCell ref="H98:J98"/>
    <mergeCell ref="A99:G99"/>
    <mergeCell ref="H99:J99"/>
    <mergeCell ref="H100:J100"/>
    <mergeCell ref="A136:G136"/>
    <mergeCell ref="H136:J136"/>
    <mergeCell ref="A137:G137"/>
    <mergeCell ref="H137:J137"/>
    <mergeCell ref="B39:D39"/>
    <mergeCell ref="F39:I39"/>
    <mergeCell ref="B40:D40"/>
    <mergeCell ref="F40:I40"/>
    <mergeCell ref="A61:G61"/>
    <mergeCell ref="H61:J61"/>
    <mergeCell ref="B38:D38"/>
    <mergeCell ref="F38:I38"/>
    <mergeCell ref="A1:G1"/>
    <mergeCell ref="H1:J1"/>
    <mergeCell ref="A2:G2"/>
    <mergeCell ref="H2:J2"/>
    <mergeCell ref="H3:J3"/>
    <mergeCell ref="E4:F4"/>
    <mergeCell ref="E36:F36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tabSelected="1" zoomScale="80" zoomScaleNormal="80" zoomScaleSheetLayoutView="80" workbookViewId="0">
      <pane xSplit="1" ySplit="5" topLeftCell="B131" activePane="bottomRight" state="frozen"/>
      <selection pane="topRight" activeCell="B1" sqref="B1"/>
      <selection pane="bottomLeft" activeCell="A6" sqref="A6"/>
      <selection pane="bottomRight" activeCell="G136" sqref="G136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34" t="s">
        <v>197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</row>
    <row r="2" spans="1:26" ht="20.25" customHeight="1">
      <c r="A2" s="534" t="s">
        <v>198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</row>
    <row r="3" spans="1:26" ht="20.25" customHeight="1" thickBot="1">
      <c r="A3" s="535" t="s">
        <v>444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</row>
    <row r="4" spans="1:26" ht="20.25" customHeight="1">
      <c r="A4" s="343" t="s">
        <v>199</v>
      </c>
      <c r="B4" s="536" t="s">
        <v>200</v>
      </c>
      <c r="C4" s="536"/>
      <c r="D4" s="536" t="s">
        <v>201</v>
      </c>
      <c r="E4" s="536"/>
      <c r="F4" s="536" t="s">
        <v>202</v>
      </c>
      <c r="G4" s="536"/>
      <c r="H4" s="536"/>
      <c r="I4" s="536" t="s">
        <v>203</v>
      </c>
      <c r="J4" s="536"/>
      <c r="K4" s="536" t="s">
        <v>204</v>
      </c>
      <c r="L4" s="536"/>
      <c r="M4" s="537" t="s">
        <v>205</v>
      </c>
      <c r="N4" s="538"/>
      <c r="O4" s="539"/>
      <c r="P4" s="536" t="s">
        <v>206</v>
      </c>
      <c r="Q4" s="536"/>
      <c r="R4" s="536" t="s">
        <v>207</v>
      </c>
      <c r="S4" s="536"/>
      <c r="T4" s="536"/>
      <c r="U4" s="127" t="s">
        <v>208</v>
      </c>
      <c r="V4" s="536" t="s">
        <v>209</v>
      </c>
      <c r="W4" s="536"/>
      <c r="X4" s="127" t="s">
        <v>210</v>
      </c>
      <c r="Y4" s="127" t="s">
        <v>211</v>
      </c>
      <c r="Z4" s="540" t="s">
        <v>54</v>
      </c>
    </row>
    <row r="5" spans="1:26" ht="20.25" customHeight="1" thickBot="1">
      <c r="A5" s="344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41"/>
    </row>
    <row r="6" spans="1:26" ht="20.25" customHeight="1">
      <c r="A6" s="345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433930.7</v>
      </c>
      <c r="Z6" s="133">
        <f>SUM(B6:Y6)</f>
        <v>433930.7</v>
      </c>
    </row>
    <row r="7" spans="1:26" ht="20.25" customHeight="1">
      <c r="A7" s="346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31" t="s">
        <v>294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5041</v>
      </c>
      <c r="Z8" s="133">
        <f>SUM(B8:Y8)</f>
        <v>5041</v>
      </c>
    </row>
    <row r="9" spans="1:26" ht="20.25" customHeight="1">
      <c r="A9" s="331" t="s">
        <v>295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31" t="s">
        <v>296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31" t="s">
        <v>297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31" t="s">
        <v>370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61800</v>
      </c>
      <c r="Z12" s="133">
        <f t="shared" si="0"/>
        <v>61800</v>
      </c>
    </row>
    <row r="13" spans="1:26" ht="20.25" customHeight="1">
      <c r="A13" s="331" t="s">
        <v>298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0</v>
      </c>
      <c r="Z13" s="133">
        <f t="shared" si="0"/>
        <v>0</v>
      </c>
    </row>
    <row r="14" spans="1:26" ht="20.25" customHeight="1">
      <c r="A14" s="331" t="s">
        <v>299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39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39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43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71841</v>
      </c>
      <c r="Z17" s="140">
        <f t="shared" si="0"/>
        <v>71841</v>
      </c>
      <c r="AA17" s="141"/>
    </row>
    <row r="18" spans="1:27" ht="20.25" customHeight="1" thickBot="1">
      <c r="A18" s="344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505771.7</v>
      </c>
      <c r="Z18" s="137">
        <f t="shared" si="2"/>
        <v>505771.7</v>
      </c>
    </row>
    <row r="19" spans="1:27" ht="20.25" customHeight="1">
      <c r="A19" s="347" t="s">
        <v>55</v>
      </c>
      <c r="B19" s="131">
        <v>1539540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1539540</v>
      </c>
    </row>
    <row r="20" spans="1:27" ht="20.25" customHeight="1">
      <c r="A20" s="346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31" t="s">
        <v>301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31" t="s">
        <v>302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31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31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32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43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44" t="s">
        <v>238</v>
      </c>
      <c r="B27" s="137">
        <f t="shared" ref="B27:Z27" si="6">B19+B26</f>
        <v>1710600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1710600</v>
      </c>
    </row>
    <row r="28" spans="1:27" ht="20.25" customHeight="1">
      <c r="A28" s="347" t="s">
        <v>55</v>
      </c>
      <c r="B28" s="134">
        <v>2082283.29</v>
      </c>
      <c r="C28" s="134">
        <v>872909.32</v>
      </c>
      <c r="D28" s="131"/>
      <c r="E28" s="131"/>
      <c r="F28" s="131">
        <v>172800</v>
      </c>
      <c r="G28" s="131"/>
      <c r="H28" s="131"/>
      <c r="I28" s="131"/>
      <c r="J28" s="131"/>
      <c r="K28" s="131"/>
      <c r="L28" s="131"/>
      <c r="M28" s="134">
        <v>605731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3733723.61</v>
      </c>
    </row>
    <row r="29" spans="1:27" ht="20.25" customHeight="1">
      <c r="A29" s="346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31" t="s">
        <v>303</v>
      </c>
      <c r="B30" s="136">
        <v>157360</v>
      </c>
      <c r="C30" s="136">
        <v>62720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35010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255090</v>
      </c>
    </row>
    <row r="31" spans="1:27" ht="20.25" customHeight="1">
      <c r="A31" s="331" t="s">
        <v>304</v>
      </c>
      <c r="B31" s="134">
        <v>4090</v>
      </c>
      <c r="C31" s="134">
        <v>3585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7675</v>
      </c>
    </row>
    <row r="32" spans="1:27" ht="20.25" customHeight="1">
      <c r="A32" s="331" t="s">
        <v>305</v>
      </c>
      <c r="B32" s="136">
        <v>14700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21700</v>
      </c>
    </row>
    <row r="33" spans="1:26" ht="20.25" customHeight="1">
      <c r="A33" s="331" t="s">
        <v>306</v>
      </c>
      <c r="B33" s="136">
        <v>9520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9520</v>
      </c>
    </row>
    <row r="34" spans="1:26" ht="20.25" customHeight="1">
      <c r="A34" s="331" t="s">
        <v>307</v>
      </c>
      <c r="B34" s="136">
        <v>5480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5480</v>
      </c>
    </row>
    <row r="35" spans="1:26" ht="20.25" customHeight="1">
      <c r="A35" s="331" t="s">
        <v>308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33" t="s">
        <v>309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48" t="s">
        <v>237</v>
      </c>
      <c r="B37" s="131">
        <f t="shared" ref="B37:Y37" si="8">SUM(B30:B36)</f>
        <v>218150</v>
      </c>
      <c r="C37" s="131">
        <f t="shared" si="8"/>
        <v>97095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65820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400265</v>
      </c>
    </row>
    <row r="38" spans="1:26" ht="20.25" customHeight="1" thickBot="1">
      <c r="A38" s="344" t="s">
        <v>238</v>
      </c>
      <c r="B38" s="137">
        <f t="shared" ref="B38:Z38" si="9">B28+B37</f>
        <v>2300433.29</v>
      </c>
      <c r="C38" s="137">
        <f t="shared" si="9"/>
        <v>970004.32</v>
      </c>
      <c r="D38" s="137">
        <f t="shared" si="9"/>
        <v>0</v>
      </c>
      <c r="E38" s="137">
        <f t="shared" si="9"/>
        <v>0</v>
      </c>
      <c r="F38" s="137">
        <f t="shared" si="9"/>
        <v>192000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671551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4133988.61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44" t="s">
        <v>197</v>
      </c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</row>
    <row r="45" spans="1:26" ht="20.25" customHeight="1">
      <c r="A45" s="544" t="s">
        <v>198</v>
      </c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</row>
    <row r="46" spans="1:26" ht="20.25" customHeight="1" thickBot="1">
      <c r="A46" s="535" t="str">
        <f>A3</f>
        <v>วันที่  31  กรกฎาคม  2557</v>
      </c>
      <c r="B46" s="535"/>
      <c r="C46" s="535"/>
      <c r="D46" s="535"/>
      <c r="E46" s="535"/>
      <c r="F46" s="535"/>
      <c r="G46" s="535"/>
      <c r="H46" s="535"/>
      <c r="I46" s="535"/>
      <c r="J46" s="535"/>
      <c r="K46" s="535"/>
      <c r="L46" s="535"/>
      <c r="M46" s="535"/>
      <c r="N46" s="535"/>
      <c r="O46" s="535"/>
      <c r="P46" s="535"/>
      <c r="Q46" s="535"/>
      <c r="R46" s="535"/>
      <c r="S46" s="535"/>
      <c r="T46" s="535"/>
      <c r="U46" s="535"/>
      <c r="V46" s="535"/>
      <c r="W46" s="535"/>
      <c r="X46" s="535"/>
      <c r="Y46" s="535"/>
      <c r="Z46" s="535"/>
    </row>
    <row r="47" spans="1:26" ht="20.25" customHeight="1">
      <c r="A47" s="343" t="s">
        <v>199</v>
      </c>
      <c r="B47" s="536" t="s">
        <v>200</v>
      </c>
      <c r="C47" s="536"/>
      <c r="D47" s="536" t="s">
        <v>201</v>
      </c>
      <c r="E47" s="536"/>
      <c r="F47" s="536" t="s">
        <v>202</v>
      </c>
      <c r="G47" s="536"/>
      <c r="H47" s="536"/>
      <c r="I47" s="536" t="s">
        <v>203</v>
      </c>
      <c r="J47" s="536"/>
      <c r="K47" s="536" t="s">
        <v>204</v>
      </c>
      <c r="L47" s="536"/>
      <c r="M47" s="537" t="s">
        <v>205</v>
      </c>
      <c r="N47" s="538"/>
      <c r="O47" s="539"/>
      <c r="P47" s="536" t="s">
        <v>206</v>
      </c>
      <c r="Q47" s="536"/>
      <c r="R47" s="536" t="s">
        <v>207</v>
      </c>
      <c r="S47" s="536"/>
      <c r="T47" s="536"/>
      <c r="U47" s="341" t="s">
        <v>208</v>
      </c>
      <c r="V47" s="536" t="s">
        <v>209</v>
      </c>
      <c r="W47" s="536"/>
      <c r="X47" s="341" t="s">
        <v>210</v>
      </c>
      <c r="Y47" s="341" t="s">
        <v>211</v>
      </c>
      <c r="Z47" s="540" t="s">
        <v>54</v>
      </c>
    </row>
    <row r="48" spans="1:26" ht="20.25" customHeight="1" thickBot="1">
      <c r="A48" s="344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41"/>
    </row>
    <row r="49" spans="1:26" ht="20.25" customHeight="1">
      <c r="A49" s="347" t="s">
        <v>55</v>
      </c>
      <c r="B49" s="131">
        <v>79093</v>
      </c>
      <c r="C49" s="131">
        <v>46662</v>
      </c>
      <c r="D49" s="131">
        <v>142200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267955</v>
      </c>
    </row>
    <row r="50" spans="1:26" ht="20.25" customHeight="1">
      <c r="A50" s="346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34" t="s">
        <v>312</v>
      </c>
      <c r="B51" s="134">
        <v>20900</v>
      </c>
      <c r="C51" s="134">
        <v>0</v>
      </c>
      <c r="D51" s="134">
        <v>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20900</v>
      </c>
    </row>
    <row r="52" spans="1:26" ht="20.25" customHeight="1">
      <c r="A52" s="334" t="s">
        <v>313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34" t="s">
        <v>314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34" t="s">
        <v>315</v>
      </c>
      <c r="B54" s="134">
        <v>0</v>
      </c>
      <c r="C54" s="134">
        <v>4600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34" t="s">
        <v>316</v>
      </c>
      <c r="B55" s="146">
        <v>0</v>
      </c>
      <c r="C55" s="134">
        <v>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0</v>
      </c>
    </row>
    <row r="56" spans="1:26" ht="20.25" customHeight="1" thickBot="1">
      <c r="A56" s="335" t="s">
        <v>317</v>
      </c>
      <c r="B56" s="147">
        <v>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0</v>
      </c>
    </row>
    <row r="57" spans="1:26" ht="20.25" customHeight="1">
      <c r="A57" s="343" t="s">
        <v>237</v>
      </c>
      <c r="B57" s="138">
        <f t="shared" ref="B57:Y57" si="12">SUM(B50:B56)</f>
        <v>20900</v>
      </c>
      <c r="C57" s="138">
        <f t="shared" si="12"/>
        <v>4600</v>
      </c>
      <c r="D57" s="138">
        <f t="shared" si="12"/>
        <v>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25500</v>
      </c>
    </row>
    <row r="58" spans="1:26" ht="20.25" customHeight="1" thickBot="1">
      <c r="A58" s="344" t="s">
        <v>238</v>
      </c>
      <c r="B58" s="137">
        <f>B57+B49</f>
        <v>99993</v>
      </c>
      <c r="C58" s="137">
        <f>C49+C57</f>
        <v>51262</v>
      </c>
      <c r="D58" s="137">
        <f t="shared" ref="D58:L58" si="13">D57+D49</f>
        <v>142200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293455</v>
      </c>
    </row>
    <row r="59" spans="1:26" ht="20.25" customHeight="1">
      <c r="A59" s="345" t="s">
        <v>55</v>
      </c>
      <c r="B59" s="147">
        <v>406937.43</v>
      </c>
      <c r="C59" s="147">
        <v>188640</v>
      </c>
      <c r="D59" s="147">
        <v>22843</v>
      </c>
      <c r="E59" s="147">
        <v>0</v>
      </c>
      <c r="F59" s="147">
        <v>13610</v>
      </c>
      <c r="G59" s="147">
        <v>963920</v>
      </c>
      <c r="H59" s="147"/>
      <c r="I59" s="147">
        <v>8000</v>
      </c>
      <c r="J59" s="147"/>
      <c r="K59" s="147"/>
      <c r="L59" s="147"/>
      <c r="M59" s="148">
        <v>20060</v>
      </c>
      <c r="N59" s="147"/>
      <c r="O59" s="147"/>
      <c r="P59" s="147">
        <v>33467</v>
      </c>
      <c r="Q59" s="147">
        <v>0</v>
      </c>
      <c r="R59" s="147">
        <v>0</v>
      </c>
      <c r="S59" s="147">
        <v>49995</v>
      </c>
      <c r="T59" s="147">
        <v>205165</v>
      </c>
      <c r="U59" s="147"/>
      <c r="V59" s="147"/>
      <c r="W59" s="147"/>
      <c r="X59" s="147"/>
      <c r="Y59" s="147"/>
      <c r="Z59" s="149">
        <f>SUM(B59:Y59)</f>
        <v>1912637.43</v>
      </c>
    </row>
    <row r="60" spans="1:26" ht="20.25" customHeight="1">
      <c r="A60" s="346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34" t="s">
        <v>318</v>
      </c>
      <c r="B61" s="136">
        <f>5000+3900+5000</f>
        <v>13900</v>
      </c>
      <c r="C61" s="136">
        <f>6000</f>
        <v>6000</v>
      </c>
      <c r="D61" s="136">
        <v>0</v>
      </c>
      <c r="E61" s="136"/>
      <c r="F61" s="136">
        <v>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19900</v>
      </c>
    </row>
    <row r="62" spans="1:26" ht="20.25" customHeight="1">
      <c r="A62" s="336" t="s">
        <v>319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36" t="s">
        <v>320</v>
      </c>
      <c r="B63" s="136">
        <f>4850+4660+1230</f>
        <v>10740</v>
      </c>
      <c r="C63" s="136">
        <f>6000+6000</f>
        <v>12000</v>
      </c>
      <c r="D63" s="136">
        <v>4500</v>
      </c>
      <c r="E63" s="136"/>
      <c r="F63" s="136">
        <v>0</v>
      </c>
      <c r="G63" s="136">
        <v>0</v>
      </c>
      <c r="H63" s="136">
        <v>0</v>
      </c>
      <c r="I63" s="136">
        <v>0</v>
      </c>
      <c r="J63" s="136"/>
      <c r="K63" s="136"/>
      <c r="L63" s="136"/>
      <c r="M63" s="134">
        <v>0</v>
      </c>
      <c r="N63" s="136"/>
      <c r="O63" s="136"/>
      <c r="P63" s="136">
        <v>0</v>
      </c>
      <c r="Q63" s="136">
        <v>0</v>
      </c>
      <c r="R63" s="136">
        <v>0</v>
      </c>
      <c r="S63" s="136">
        <f>62000+2448+77000+7700+30000+33400+67065+15576+84300</f>
        <v>379489</v>
      </c>
      <c r="T63" s="136">
        <f>9000+2970+15000+50000</f>
        <v>76970</v>
      </c>
      <c r="U63" s="136"/>
      <c r="V63" s="136"/>
      <c r="W63" s="136"/>
      <c r="X63" s="136"/>
      <c r="Y63" s="136"/>
      <c r="Z63" s="149">
        <f t="shared" si="15"/>
        <v>483699</v>
      </c>
    </row>
    <row r="64" spans="1:26" ht="20.25" customHeight="1" thickBot="1">
      <c r="A64" s="335" t="s">
        <v>321</v>
      </c>
      <c r="B64" s="136"/>
      <c r="C64" s="136">
        <v>1250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>
        <v>0</v>
      </c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1250</v>
      </c>
    </row>
    <row r="65" spans="1:208" ht="20.25" customHeight="1">
      <c r="A65" s="343" t="s">
        <v>237</v>
      </c>
      <c r="B65" s="138">
        <f t="shared" ref="B65:Z65" si="16">SUM(B61:B64)</f>
        <v>24640</v>
      </c>
      <c r="C65" s="138">
        <f t="shared" si="16"/>
        <v>19250</v>
      </c>
      <c r="D65" s="138">
        <f t="shared" si="16"/>
        <v>4500</v>
      </c>
      <c r="E65" s="138">
        <f t="shared" si="16"/>
        <v>0</v>
      </c>
      <c r="F65" s="138">
        <f t="shared" si="16"/>
        <v>0</v>
      </c>
      <c r="G65" s="138">
        <f t="shared" si="16"/>
        <v>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379489</v>
      </c>
      <c r="T65" s="138">
        <f t="shared" si="16"/>
        <v>76970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504849</v>
      </c>
    </row>
    <row r="66" spans="1:208" ht="20.25" customHeight="1" thickBot="1">
      <c r="A66" s="344" t="s">
        <v>238</v>
      </c>
      <c r="B66" s="137">
        <f t="shared" ref="B66:R66" si="17">B59+B65</f>
        <v>431577.43</v>
      </c>
      <c r="C66" s="137">
        <f t="shared" si="17"/>
        <v>207890</v>
      </c>
      <c r="D66" s="137">
        <f t="shared" si="17"/>
        <v>27343</v>
      </c>
      <c r="E66" s="137">
        <f t="shared" si="17"/>
        <v>0</v>
      </c>
      <c r="F66" s="137">
        <f t="shared" si="17"/>
        <v>13610</v>
      </c>
      <c r="G66" s="137">
        <f t="shared" si="17"/>
        <v>963920</v>
      </c>
      <c r="H66" s="137">
        <f t="shared" si="17"/>
        <v>0</v>
      </c>
      <c r="I66" s="137">
        <f t="shared" si="17"/>
        <v>8000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20060</v>
      </c>
      <c r="N66" s="137">
        <f t="shared" si="17"/>
        <v>0</v>
      </c>
      <c r="O66" s="137">
        <f t="shared" si="17"/>
        <v>0</v>
      </c>
      <c r="P66" s="137">
        <f t="shared" si="17"/>
        <v>33467</v>
      </c>
      <c r="Q66" s="137">
        <f t="shared" si="17"/>
        <v>0</v>
      </c>
      <c r="R66" s="137">
        <f t="shared" si="17"/>
        <v>0</v>
      </c>
      <c r="S66" s="137">
        <f>+S59+S65</f>
        <v>429484</v>
      </c>
      <c r="T66" s="137">
        <f t="shared" ref="T66:Z66" si="18">T59+T65</f>
        <v>282135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2417486.4299999997</v>
      </c>
    </row>
    <row r="67" spans="1:208" s="134" customFormat="1" ht="20.25" customHeight="1">
      <c r="A67" s="347" t="s">
        <v>55</v>
      </c>
      <c r="B67" s="131">
        <f>129711-6000</f>
        <v>123711</v>
      </c>
      <c r="C67" s="136">
        <v>9620</v>
      </c>
      <c r="D67" s="147">
        <v>27359</v>
      </c>
      <c r="E67" s="147"/>
      <c r="F67" s="131">
        <v>824418.8</v>
      </c>
      <c r="G67" s="131"/>
      <c r="H67" s="131"/>
      <c r="I67" s="147"/>
      <c r="J67" s="150"/>
      <c r="K67" s="150"/>
      <c r="L67" s="150"/>
      <c r="M67" s="150">
        <v>1100</v>
      </c>
      <c r="N67" s="147"/>
      <c r="O67" s="147"/>
      <c r="P67" s="147"/>
      <c r="Q67" s="147"/>
      <c r="R67" s="147"/>
      <c r="S67" s="147">
        <v>99884</v>
      </c>
      <c r="T67" s="147"/>
      <c r="U67" s="147"/>
      <c r="V67" s="147"/>
      <c r="W67" s="147"/>
      <c r="X67" s="147">
        <v>107540</v>
      </c>
      <c r="Y67" s="147"/>
      <c r="Z67" s="143">
        <f t="shared" ref="Z67:Z82" si="19">SUM(B67:Y67)</f>
        <v>1193632.8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46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34" t="s">
        <v>322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36" t="s">
        <v>323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36" t="s">
        <v>324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36" t="s">
        <v>326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36" t="s">
        <v>327</v>
      </c>
      <c r="B73" s="136">
        <v>13400</v>
      </c>
      <c r="C73" s="136">
        <v>500</v>
      </c>
      <c r="D73" s="146">
        <v>4500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1000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19400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36" t="s">
        <v>328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36" t="s">
        <v>329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>
        <v>0</v>
      </c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36" t="s">
        <v>330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36" t="s">
        <v>331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36" t="s">
        <v>332</v>
      </c>
      <c r="B78" s="136">
        <v>16630</v>
      </c>
      <c r="C78" s="136">
        <v>18330</v>
      </c>
      <c r="D78" s="151"/>
      <c r="E78" s="151"/>
      <c r="F78" s="136">
        <v>0</v>
      </c>
      <c r="G78" s="136"/>
      <c r="H78" s="151"/>
      <c r="I78" s="151"/>
      <c r="J78" s="150"/>
      <c r="K78" s="150"/>
      <c r="L78" s="150"/>
      <c r="M78" s="150">
        <v>5600</v>
      </c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40560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36" t="s">
        <v>333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37" t="s">
        <v>334</v>
      </c>
      <c r="B80" s="136"/>
      <c r="C80" s="136"/>
      <c r="D80" s="151"/>
      <c r="E80" s="151"/>
      <c r="F80" s="136">
        <v>60610.55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16500</v>
      </c>
      <c r="Y80" s="151"/>
      <c r="Z80" s="133">
        <f t="shared" si="19"/>
        <v>77110.55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43" t="s">
        <v>237</v>
      </c>
      <c r="B81" s="138">
        <f>SUM(B68:B80)</f>
        <v>30030</v>
      </c>
      <c r="C81" s="138">
        <f t="shared" ref="C81:Y81" si="20">SUM(C69:C80)</f>
        <v>18830</v>
      </c>
      <c r="D81" s="138">
        <f t="shared" si="20"/>
        <v>4500</v>
      </c>
      <c r="E81" s="138">
        <f t="shared" si="20"/>
        <v>0</v>
      </c>
      <c r="F81" s="138">
        <f t="shared" si="20"/>
        <v>60610.55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6600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16500</v>
      </c>
      <c r="Y81" s="138">
        <f t="shared" si="20"/>
        <v>0</v>
      </c>
      <c r="Z81" s="140">
        <f t="shared" si="19"/>
        <v>137070.54999999999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44" t="s">
        <v>238</v>
      </c>
      <c r="B82" s="137">
        <f t="shared" ref="B82:Y82" si="21">B81+B67</f>
        <v>153741</v>
      </c>
      <c r="C82" s="137">
        <f t="shared" si="21"/>
        <v>28450</v>
      </c>
      <c r="D82" s="137">
        <f t="shared" si="21"/>
        <v>31859</v>
      </c>
      <c r="E82" s="137">
        <f t="shared" si="21"/>
        <v>0</v>
      </c>
      <c r="F82" s="137">
        <f t="shared" si="21"/>
        <v>885029.35000000009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7700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99884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124040</v>
      </c>
      <c r="Y82" s="137">
        <f t="shared" si="21"/>
        <v>0</v>
      </c>
      <c r="Z82" s="144">
        <f t="shared" si="19"/>
        <v>1330703.3500000001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34" t="s">
        <v>197</v>
      </c>
      <c r="B85" s="534"/>
      <c r="C85" s="534"/>
      <c r="D85" s="534"/>
      <c r="E85" s="534"/>
      <c r="F85" s="534"/>
      <c r="G85" s="534"/>
      <c r="H85" s="534"/>
      <c r="I85" s="534"/>
      <c r="J85" s="534"/>
      <c r="K85" s="534"/>
      <c r="L85" s="534"/>
      <c r="M85" s="534"/>
      <c r="N85" s="534"/>
      <c r="O85" s="534"/>
      <c r="P85" s="534"/>
      <c r="Q85" s="534"/>
      <c r="R85" s="534"/>
      <c r="S85" s="534"/>
      <c r="T85" s="534"/>
      <c r="U85" s="534"/>
      <c r="V85" s="534"/>
      <c r="W85" s="534"/>
      <c r="X85" s="534"/>
      <c r="Y85" s="534"/>
      <c r="Z85" s="534"/>
    </row>
    <row r="86" spans="1:208" ht="20.25" customHeight="1">
      <c r="A86" s="534" t="s">
        <v>198</v>
      </c>
      <c r="B86" s="534"/>
      <c r="C86" s="534"/>
      <c r="D86" s="534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</row>
    <row r="87" spans="1:208" ht="20.25" customHeight="1" thickBot="1">
      <c r="A87" s="535" t="str">
        <f>A3</f>
        <v>วันที่  31  กรกฎาคม  2557</v>
      </c>
      <c r="B87" s="535"/>
      <c r="C87" s="535"/>
      <c r="D87" s="535"/>
      <c r="E87" s="535"/>
      <c r="F87" s="535"/>
      <c r="G87" s="535"/>
      <c r="H87" s="535"/>
      <c r="I87" s="535"/>
      <c r="J87" s="535"/>
      <c r="K87" s="535"/>
      <c r="L87" s="535"/>
      <c r="M87" s="535"/>
      <c r="N87" s="535"/>
      <c r="O87" s="535"/>
      <c r="P87" s="535"/>
      <c r="Q87" s="535"/>
      <c r="R87" s="535"/>
      <c r="S87" s="535"/>
      <c r="T87" s="535"/>
      <c r="U87" s="535"/>
      <c r="V87" s="535"/>
      <c r="W87" s="535"/>
      <c r="X87" s="535"/>
      <c r="Y87" s="535"/>
      <c r="Z87" s="535"/>
    </row>
    <row r="88" spans="1:208" ht="20.25" customHeight="1">
      <c r="A88" s="343" t="s">
        <v>199</v>
      </c>
      <c r="B88" s="537" t="s">
        <v>200</v>
      </c>
      <c r="C88" s="539"/>
      <c r="D88" s="537" t="s">
        <v>201</v>
      </c>
      <c r="E88" s="539"/>
      <c r="F88" s="537" t="s">
        <v>202</v>
      </c>
      <c r="G88" s="538"/>
      <c r="H88" s="539"/>
      <c r="I88" s="537" t="s">
        <v>203</v>
      </c>
      <c r="J88" s="539"/>
      <c r="K88" s="537" t="s">
        <v>204</v>
      </c>
      <c r="L88" s="539"/>
      <c r="M88" s="537" t="s">
        <v>205</v>
      </c>
      <c r="N88" s="538"/>
      <c r="O88" s="539"/>
      <c r="P88" s="537" t="s">
        <v>206</v>
      </c>
      <c r="Q88" s="539"/>
      <c r="R88" s="537" t="s">
        <v>207</v>
      </c>
      <c r="S88" s="538"/>
      <c r="T88" s="539"/>
      <c r="U88" s="127" t="s">
        <v>208</v>
      </c>
      <c r="V88" s="537" t="s">
        <v>209</v>
      </c>
      <c r="W88" s="539"/>
      <c r="X88" s="127" t="s">
        <v>210</v>
      </c>
      <c r="Y88" s="127" t="s">
        <v>211</v>
      </c>
      <c r="Z88" s="542" t="s">
        <v>54</v>
      </c>
    </row>
    <row r="89" spans="1:208" ht="20.25" customHeight="1" thickBot="1">
      <c r="A89" s="344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43"/>
    </row>
    <row r="90" spans="1:208" ht="20.25" customHeight="1">
      <c r="A90" s="347" t="s">
        <v>55</v>
      </c>
      <c r="B90" s="131">
        <v>176660</v>
      </c>
      <c r="C90" s="131">
        <v>718</v>
      </c>
      <c r="D90" s="131"/>
      <c r="E90" s="131">
        <v>1042.18</v>
      </c>
      <c r="F90" s="131">
        <v>3785.26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490500.78</v>
      </c>
      <c r="Y90" s="131">
        <v>0</v>
      </c>
      <c r="Z90" s="152">
        <f>SUM(B90:Y90)</f>
        <v>672706.22</v>
      </c>
    </row>
    <row r="91" spans="1:208" ht="20.25" customHeight="1">
      <c r="A91" s="346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31" t="s">
        <v>336</v>
      </c>
      <c r="B92" s="134">
        <v>15341.21</v>
      </c>
      <c r="C92" s="134"/>
      <c r="D92" s="134"/>
      <c r="E92" s="134"/>
      <c r="F92" s="134">
        <v>794.49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v>53102.57</v>
      </c>
      <c r="Y92" s="134"/>
      <c r="Z92" s="143">
        <f>SUM(B92:Y92)</f>
        <v>69238.27</v>
      </c>
    </row>
    <row r="93" spans="1:208" ht="20.25" customHeight="1">
      <c r="A93" s="333" t="s">
        <v>337</v>
      </c>
      <c r="B93" s="134">
        <v>208.65</v>
      </c>
      <c r="C93" s="134"/>
      <c r="D93" s="134"/>
      <c r="E93" s="134">
        <v>129.47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338.12</v>
      </c>
    </row>
    <row r="94" spans="1:208" ht="20.25" customHeight="1">
      <c r="A94" s="333" t="s">
        <v>338</v>
      </c>
      <c r="B94" s="131">
        <v>0</v>
      </c>
      <c r="C94" s="131">
        <v>4232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4232</v>
      </c>
    </row>
    <row r="95" spans="1:208" ht="20.25" customHeight="1">
      <c r="A95" s="333" t="s">
        <v>339</v>
      </c>
      <c r="B95" s="131">
        <v>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38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43" t="s">
        <v>237</v>
      </c>
      <c r="B97" s="138">
        <f>SUM(B92:B96)</f>
        <v>15549.859999999999</v>
      </c>
      <c r="C97" s="138">
        <f>SUM(C92:C94)</f>
        <v>4232</v>
      </c>
      <c r="D97" s="138">
        <f>SUM(D92:D94)</f>
        <v>0</v>
      </c>
      <c r="E97" s="138">
        <f>SUM(E91:E96)</f>
        <v>129.47</v>
      </c>
      <c r="F97" s="138">
        <f t="shared" ref="F97:V97" si="22">SUM(F92:F94)</f>
        <v>794.49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53102.57</v>
      </c>
      <c r="Y97" s="138"/>
      <c r="Z97" s="156">
        <f>SUM(B97:Y97)</f>
        <v>73808.39</v>
      </c>
    </row>
    <row r="98" spans="1:26" ht="20.25" customHeight="1" thickBot="1">
      <c r="A98" s="344" t="s">
        <v>238</v>
      </c>
      <c r="B98" s="137">
        <f t="shared" ref="B98:Z98" si="23">B90+B97</f>
        <v>192209.86</v>
      </c>
      <c r="C98" s="137">
        <f t="shared" si="23"/>
        <v>4950</v>
      </c>
      <c r="D98" s="137">
        <f t="shared" si="23"/>
        <v>0</v>
      </c>
      <c r="E98" s="137">
        <f t="shared" si="23"/>
        <v>1171.6500000000001</v>
      </c>
      <c r="F98" s="137">
        <f t="shared" si="23"/>
        <v>4579.75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543603.35</v>
      </c>
      <c r="Y98" s="137">
        <f t="shared" si="23"/>
        <v>0</v>
      </c>
      <c r="Z98" s="144">
        <f t="shared" si="23"/>
        <v>746514.61</v>
      </c>
    </row>
    <row r="99" spans="1:26" ht="20.25" customHeight="1">
      <c r="A99" s="353" t="s">
        <v>55</v>
      </c>
      <c r="B99" s="131">
        <f>108980.1+6000</f>
        <v>114980.1</v>
      </c>
      <c r="C99" s="131">
        <v>20100</v>
      </c>
      <c r="D99" s="131">
        <v>18300</v>
      </c>
      <c r="E99" s="131">
        <v>31500</v>
      </c>
      <c r="F99" s="131"/>
      <c r="G99" s="131">
        <v>23700</v>
      </c>
      <c r="H99" s="131"/>
      <c r="I99" s="131"/>
      <c r="J99" s="131"/>
      <c r="K99" s="131"/>
      <c r="L99" s="131"/>
      <c r="M99" s="131">
        <v>0</v>
      </c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208580.1</v>
      </c>
    </row>
    <row r="100" spans="1:26" ht="20.25" customHeight="1">
      <c r="A100" s="346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34" t="s">
        <v>342</v>
      </c>
      <c r="B101" s="134">
        <v>0</v>
      </c>
      <c r="C101" s="134">
        <v>37000</v>
      </c>
      <c r="D101" s="134"/>
      <c r="E101" s="134"/>
      <c r="F101" s="134"/>
      <c r="G101" s="134">
        <v>0</v>
      </c>
      <c r="H101" s="134"/>
      <c r="I101" s="134"/>
      <c r="J101" s="134"/>
      <c r="K101" s="134"/>
      <c r="L101" s="134"/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37000</v>
      </c>
    </row>
    <row r="102" spans="1:26" ht="20.25" customHeight="1">
      <c r="A102" s="336" t="s">
        <v>343</v>
      </c>
      <c r="B102" s="131">
        <v>0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0</v>
      </c>
    </row>
    <row r="103" spans="1:26" ht="20.25" customHeight="1">
      <c r="A103" s="336" t="s">
        <v>344</v>
      </c>
      <c r="B103" s="131">
        <v>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0</v>
      </c>
    </row>
    <row r="104" spans="1:26" ht="20.25" customHeight="1">
      <c r="A104" s="336" t="s">
        <v>345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36" t="s">
        <v>346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37" t="s">
        <v>347</v>
      </c>
      <c r="B106" s="131">
        <v>0</v>
      </c>
      <c r="C106" s="131"/>
      <c r="D106" s="131">
        <v>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0</v>
      </c>
    </row>
    <row r="107" spans="1:26" ht="20.25" customHeight="1">
      <c r="A107" s="343" t="s">
        <v>237</v>
      </c>
      <c r="B107" s="138">
        <f t="shared" ref="B107:Z107" si="25">SUM(B100:B106)</f>
        <v>0</v>
      </c>
      <c r="C107" s="138">
        <f t="shared" si="25"/>
        <v>37000</v>
      </c>
      <c r="D107" s="138">
        <f t="shared" si="25"/>
        <v>0</v>
      </c>
      <c r="E107" s="138">
        <f t="shared" si="25"/>
        <v>0</v>
      </c>
      <c r="F107" s="138">
        <f t="shared" si="25"/>
        <v>0</v>
      </c>
      <c r="G107" s="138">
        <f t="shared" si="25"/>
        <v>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37000</v>
      </c>
    </row>
    <row r="108" spans="1:26" ht="20.25" customHeight="1" thickBot="1">
      <c r="A108" s="344" t="s">
        <v>238</v>
      </c>
      <c r="B108" s="137">
        <f t="shared" ref="B108:Z108" si="26">B99+B107</f>
        <v>114980.1</v>
      </c>
      <c r="C108" s="137">
        <f t="shared" si="26"/>
        <v>57100</v>
      </c>
      <c r="D108" s="137">
        <f t="shared" si="26"/>
        <v>18300</v>
      </c>
      <c r="E108" s="137">
        <f t="shared" si="26"/>
        <v>31500</v>
      </c>
      <c r="F108" s="137">
        <f t="shared" si="26"/>
        <v>0</v>
      </c>
      <c r="G108" s="137">
        <f t="shared" si="26"/>
        <v>23700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245580.1</v>
      </c>
    </row>
    <row r="109" spans="1:26" ht="20.25" customHeight="1" thickBot="1">
      <c r="A109" s="353" t="s">
        <v>55</v>
      </c>
      <c r="B109" s="131"/>
      <c r="C109" s="131"/>
      <c r="D109" s="131"/>
      <c r="E109" s="131"/>
      <c r="F109" s="131">
        <v>35000</v>
      </c>
      <c r="G109" s="131"/>
      <c r="H109" s="131"/>
      <c r="I109" s="131"/>
      <c r="J109" s="131"/>
      <c r="K109" s="131"/>
      <c r="L109" s="131"/>
      <c r="M109" s="131">
        <v>631184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666184</v>
      </c>
    </row>
    <row r="110" spans="1:26" ht="20.25" customHeight="1">
      <c r="A110" s="346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39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33" t="s">
        <v>349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v>1766545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1766545</v>
      </c>
    </row>
    <row r="113" spans="1:26" ht="20.25" customHeight="1" thickBot="1">
      <c r="A113" s="340" t="s">
        <v>118</v>
      </c>
      <c r="B113" s="131"/>
      <c r="C113" s="131"/>
      <c r="D113" s="131"/>
      <c r="E113" s="131"/>
      <c r="F113" s="131">
        <v>0</v>
      </c>
      <c r="G113" s="131"/>
      <c r="H113" s="131"/>
      <c r="I113" s="131"/>
      <c r="J113" s="131"/>
      <c r="K113" s="131"/>
      <c r="L113" s="131"/>
      <c r="M113" s="131">
        <v>0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0</v>
      </c>
    </row>
    <row r="114" spans="1:26" ht="20.25" customHeight="1">
      <c r="A114" s="343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1766545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1766545</v>
      </c>
    </row>
    <row r="115" spans="1:26" ht="20.25" customHeight="1" thickBot="1">
      <c r="A115" s="344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35000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2397729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2432729</v>
      </c>
    </row>
    <row r="127" spans="1:26" ht="20.25" customHeight="1">
      <c r="A127" s="534" t="s">
        <v>197</v>
      </c>
      <c r="B127" s="534"/>
      <c r="C127" s="534"/>
      <c r="D127" s="534"/>
      <c r="E127" s="534"/>
      <c r="F127" s="534"/>
      <c r="G127" s="534"/>
      <c r="H127" s="534"/>
      <c r="I127" s="534"/>
      <c r="J127" s="534"/>
      <c r="K127" s="534"/>
      <c r="L127" s="534"/>
      <c r="M127" s="534"/>
      <c r="N127" s="534"/>
      <c r="O127" s="534"/>
      <c r="P127" s="534"/>
      <c r="Q127" s="534"/>
      <c r="R127" s="534"/>
      <c r="S127" s="534"/>
      <c r="T127" s="534"/>
      <c r="U127" s="534"/>
      <c r="V127" s="534"/>
      <c r="W127" s="534"/>
      <c r="X127" s="534"/>
      <c r="Y127" s="534"/>
      <c r="Z127" s="534"/>
    </row>
    <row r="128" spans="1:26" ht="20.25" customHeight="1">
      <c r="A128" s="534" t="s">
        <v>198</v>
      </c>
      <c r="B128" s="534"/>
      <c r="C128" s="534"/>
      <c r="D128" s="534"/>
      <c r="E128" s="534"/>
      <c r="F128" s="534"/>
      <c r="G128" s="534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T128" s="534"/>
      <c r="U128" s="534"/>
      <c r="V128" s="534"/>
      <c r="W128" s="534"/>
      <c r="X128" s="534"/>
      <c r="Y128" s="534"/>
      <c r="Z128" s="534"/>
    </row>
    <row r="129" spans="1:26" ht="20.25" customHeight="1" thickBot="1">
      <c r="A129" s="535" t="str">
        <f>A3</f>
        <v>วันที่  31  กรกฎาคม  2557</v>
      </c>
      <c r="B129" s="535"/>
      <c r="C129" s="535"/>
      <c r="D129" s="535"/>
      <c r="E129" s="535"/>
      <c r="F129" s="535"/>
      <c r="G129" s="535"/>
      <c r="H129" s="535"/>
      <c r="I129" s="535"/>
      <c r="J129" s="535"/>
      <c r="K129" s="535"/>
      <c r="L129" s="535"/>
      <c r="M129" s="535"/>
      <c r="N129" s="535"/>
      <c r="O129" s="535"/>
      <c r="P129" s="535"/>
      <c r="Q129" s="535"/>
      <c r="R129" s="535"/>
      <c r="S129" s="535"/>
      <c r="T129" s="535"/>
      <c r="U129" s="535"/>
      <c r="V129" s="535"/>
      <c r="W129" s="535"/>
      <c r="X129" s="535"/>
      <c r="Y129" s="535"/>
      <c r="Z129" s="535"/>
    </row>
    <row r="130" spans="1:26" ht="20.25" customHeight="1">
      <c r="A130" s="343" t="s">
        <v>199</v>
      </c>
      <c r="B130" s="536" t="s">
        <v>200</v>
      </c>
      <c r="C130" s="536"/>
      <c r="D130" s="536" t="s">
        <v>201</v>
      </c>
      <c r="E130" s="536"/>
      <c r="F130" s="536" t="s">
        <v>202</v>
      </c>
      <c r="G130" s="536"/>
      <c r="H130" s="536"/>
      <c r="I130" s="536" t="s">
        <v>203</v>
      </c>
      <c r="J130" s="536"/>
      <c r="K130" s="536" t="s">
        <v>204</v>
      </c>
      <c r="L130" s="536"/>
      <c r="M130" s="537" t="s">
        <v>205</v>
      </c>
      <c r="N130" s="538"/>
      <c r="O130" s="539"/>
      <c r="P130" s="536" t="s">
        <v>206</v>
      </c>
      <c r="Q130" s="536"/>
      <c r="R130" s="536" t="s">
        <v>207</v>
      </c>
      <c r="S130" s="536"/>
      <c r="T130" s="536"/>
      <c r="U130" s="127" t="s">
        <v>208</v>
      </c>
      <c r="V130" s="536" t="s">
        <v>209</v>
      </c>
      <c r="W130" s="536"/>
      <c r="X130" s="127" t="s">
        <v>210</v>
      </c>
      <c r="Y130" s="127" t="s">
        <v>211</v>
      </c>
      <c r="Z130" s="540" t="s">
        <v>54</v>
      </c>
    </row>
    <row r="131" spans="1:26" ht="20.25" customHeight="1" thickBot="1">
      <c r="A131" s="344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41"/>
    </row>
    <row r="132" spans="1:26" ht="20.25" customHeight="1">
      <c r="A132" s="349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0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39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39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51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44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43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44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49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1316000</v>
      </c>
      <c r="H140" s="138"/>
      <c r="I140" s="138">
        <v>70000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1386000</v>
      </c>
    </row>
    <row r="141" spans="1:26" ht="20.25" customHeight="1">
      <c r="A141" s="350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52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1312000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1312000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>
        <v>0</v>
      </c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1312000</v>
      </c>
      <c r="H145" s="138">
        <f t="shared" si="33"/>
        <v>0</v>
      </c>
      <c r="I145" s="138">
        <f t="shared" si="33"/>
        <v>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1312000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2628000</v>
      </c>
      <c r="H146" s="137">
        <f t="shared" si="34"/>
        <v>0</v>
      </c>
      <c r="I146" s="137">
        <f t="shared" si="34"/>
        <v>70000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2698000</v>
      </c>
    </row>
    <row r="147" spans="1:208" ht="20.25" customHeight="1">
      <c r="A147" s="126" t="s">
        <v>237</v>
      </c>
      <c r="B147" s="160">
        <f t="shared" ref="B147:Z147" si="35">B17+B26+B37+B57+B65+B81+B97+B107+B114+B138+B145</f>
        <v>480329.86</v>
      </c>
      <c r="C147" s="160">
        <f t="shared" si="35"/>
        <v>181007</v>
      </c>
      <c r="D147" s="160">
        <f t="shared" si="35"/>
        <v>9000</v>
      </c>
      <c r="E147" s="160">
        <f t="shared" si="35"/>
        <v>129.47</v>
      </c>
      <c r="F147" s="160">
        <f t="shared" si="35"/>
        <v>80605.040000000008</v>
      </c>
      <c r="G147" s="160">
        <f t="shared" si="35"/>
        <v>1312000</v>
      </c>
      <c r="H147" s="160">
        <f t="shared" si="35"/>
        <v>0</v>
      </c>
      <c r="I147" s="160">
        <f t="shared" si="35"/>
        <v>0</v>
      </c>
      <c r="J147" s="160">
        <f t="shared" si="35"/>
        <v>0</v>
      </c>
      <c r="K147" s="160">
        <f t="shared" si="35"/>
        <v>0</v>
      </c>
      <c r="L147" s="160">
        <f t="shared" si="35"/>
        <v>0</v>
      </c>
      <c r="M147" s="160">
        <f t="shared" si="35"/>
        <v>1838965</v>
      </c>
      <c r="N147" s="160">
        <f t="shared" si="35"/>
        <v>0</v>
      </c>
      <c r="O147" s="160">
        <f t="shared" si="35"/>
        <v>0</v>
      </c>
      <c r="P147" s="160">
        <f t="shared" si="35"/>
        <v>0</v>
      </c>
      <c r="Q147" s="160">
        <f t="shared" si="35"/>
        <v>0</v>
      </c>
      <c r="R147" s="160">
        <f t="shared" si="35"/>
        <v>0</v>
      </c>
      <c r="S147" s="160">
        <f t="shared" si="35"/>
        <v>379489</v>
      </c>
      <c r="T147" s="160">
        <f t="shared" si="35"/>
        <v>76970</v>
      </c>
      <c r="U147" s="160">
        <f t="shared" si="35"/>
        <v>0</v>
      </c>
      <c r="V147" s="160">
        <f t="shared" si="35"/>
        <v>0</v>
      </c>
      <c r="W147" s="160">
        <f t="shared" si="35"/>
        <v>0</v>
      </c>
      <c r="X147" s="160">
        <f t="shared" si="35"/>
        <v>69602.570000000007</v>
      </c>
      <c r="Y147" s="160">
        <f t="shared" si="35"/>
        <v>71841</v>
      </c>
      <c r="Z147" s="140">
        <f t="shared" si="35"/>
        <v>4499938.9399999995</v>
      </c>
    </row>
    <row r="148" spans="1:208" ht="20.25" customHeight="1" thickBot="1">
      <c r="A148" s="128" t="s">
        <v>238</v>
      </c>
      <c r="B148" s="165">
        <f t="shared" ref="B148:Z148" si="36">B18+B27+B38+B58+B66+B82+B98+B108+B115+B139+B146</f>
        <v>5003534.68</v>
      </c>
      <c r="C148" s="165">
        <f t="shared" si="36"/>
        <v>1319656.3199999998</v>
      </c>
      <c r="D148" s="165">
        <f t="shared" si="36"/>
        <v>219702</v>
      </c>
      <c r="E148" s="165">
        <f t="shared" si="36"/>
        <v>32671.65</v>
      </c>
      <c r="F148" s="165">
        <f t="shared" si="36"/>
        <v>1130219.1000000001</v>
      </c>
      <c r="G148" s="165">
        <f t="shared" si="36"/>
        <v>3615620</v>
      </c>
      <c r="H148" s="165">
        <f t="shared" si="36"/>
        <v>0</v>
      </c>
      <c r="I148" s="165">
        <f t="shared" si="36"/>
        <v>78000</v>
      </c>
      <c r="J148" s="165">
        <f t="shared" si="36"/>
        <v>0</v>
      </c>
      <c r="K148" s="165">
        <f t="shared" si="36"/>
        <v>0</v>
      </c>
      <c r="L148" s="165">
        <f t="shared" si="36"/>
        <v>0</v>
      </c>
      <c r="M148" s="165">
        <f t="shared" si="36"/>
        <v>3097040</v>
      </c>
      <c r="N148" s="165">
        <f t="shared" si="36"/>
        <v>0</v>
      </c>
      <c r="O148" s="165">
        <f t="shared" si="36"/>
        <v>0</v>
      </c>
      <c r="P148" s="165">
        <f t="shared" si="36"/>
        <v>33467</v>
      </c>
      <c r="Q148" s="165">
        <f t="shared" si="36"/>
        <v>0</v>
      </c>
      <c r="R148" s="165">
        <f t="shared" si="36"/>
        <v>0</v>
      </c>
      <c r="S148" s="165">
        <f t="shared" si="36"/>
        <v>529368</v>
      </c>
      <c r="T148" s="165">
        <f t="shared" si="36"/>
        <v>282135</v>
      </c>
      <c r="U148" s="165">
        <f t="shared" si="36"/>
        <v>0</v>
      </c>
      <c r="V148" s="165">
        <f t="shared" si="36"/>
        <v>0</v>
      </c>
      <c r="W148" s="165">
        <f t="shared" si="36"/>
        <v>0</v>
      </c>
      <c r="X148" s="165">
        <f t="shared" si="36"/>
        <v>667643.35</v>
      </c>
      <c r="Y148" s="165">
        <f t="shared" si="36"/>
        <v>505771.7</v>
      </c>
      <c r="Z148" s="166">
        <f t="shared" si="36"/>
        <v>16514828.799999999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34" t="s">
        <v>197</v>
      </c>
      <c r="B169" s="534"/>
      <c r="C169" s="534"/>
      <c r="D169" s="534"/>
      <c r="E169" s="534"/>
      <c r="F169" s="534"/>
      <c r="G169" s="534"/>
      <c r="H169" s="534"/>
      <c r="I169" s="534"/>
      <c r="J169" s="534"/>
      <c r="K169" s="534"/>
      <c r="L169" s="534"/>
      <c r="M169" s="534"/>
      <c r="N169" s="534"/>
      <c r="O169" s="534"/>
      <c r="P169" s="534"/>
      <c r="Q169" s="534"/>
      <c r="R169" s="534"/>
      <c r="S169" s="534"/>
      <c r="T169" s="534"/>
      <c r="U169" s="534"/>
      <c r="V169" s="534"/>
      <c r="W169" s="534"/>
      <c r="X169" s="534"/>
      <c r="Y169" s="534"/>
      <c r="Z169" s="534"/>
    </row>
    <row r="170" spans="1:208" ht="20.25" customHeight="1">
      <c r="A170" s="534" t="s">
        <v>240</v>
      </c>
      <c r="B170" s="534"/>
      <c r="C170" s="534"/>
      <c r="D170" s="534"/>
      <c r="E170" s="534"/>
      <c r="F170" s="534"/>
      <c r="G170" s="534"/>
      <c r="H170" s="534"/>
      <c r="I170" s="534"/>
      <c r="J170" s="534"/>
      <c r="K170" s="534"/>
      <c r="L170" s="534"/>
      <c r="M170" s="534"/>
      <c r="N170" s="534"/>
      <c r="O170" s="534"/>
      <c r="P170" s="534"/>
      <c r="Q170" s="534"/>
      <c r="R170" s="534"/>
      <c r="S170" s="534"/>
      <c r="T170" s="534"/>
      <c r="U170" s="534"/>
      <c r="V170" s="534"/>
      <c r="W170" s="534"/>
      <c r="X170" s="534"/>
      <c r="Y170" s="534"/>
      <c r="Z170" s="534"/>
    </row>
    <row r="171" spans="1:208" ht="20.25" customHeight="1" thickBot="1">
      <c r="A171" s="535" t="str">
        <f>A46</f>
        <v>วันที่  31  กรกฎาคม  2557</v>
      </c>
      <c r="B171" s="535"/>
      <c r="C171" s="535"/>
      <c r="D171" s="535"/>
      <c r="E171" s="535"/>
      <c r="F171" s="535"/>
      <c r="G171" s="535"/>
      <c r="H171" s="535"/>
      <c r="I171" s="535"/>
      <c r="J171" s="535"/>
      <c r="K171" s="535"/>
      <c r="L171" s="535"/>
      <c r="M171" s="535"/>
      <c r="N171" s="535"/>
      <c r="O171" s="535"/>
      <c r="P171" s="535"/>
      <c r="Q171" s="535"/>
      <c r="R171" s="535"/>
      <c r="S171" s="535"/>
      <c r="T171" s="535"/>
      <c r="U171" s="535"/>
      <c r="V171" s="535"/>
      <c r="W171" s="535"/>
      <c r="X171" s="535"/>
      <c r="Y171" s="535"/>
      <c r="Z171" s="535"/>
    </row>
    <row r="172" spans="1:208" ht="20.25" customHeight="1">
      <c r="A172" s="126" t="s">
        <v>199</v>
      </c>
      <c r="B172" s="536" t="s">
        <v>200</v>
      </c>
      <c r="C172" s="536"/>
      <c r="D172" s="536" t="s">
        <v>201</v>
      </c>
      <c r="E172" s="536"/>
      <c r="F172" s="536" t="s">
        <v>202</v>
      </c>
      <c r="G172" s="536"/>
      <c r="H172" s="536"/>
      <c r="I172" s="536" t="s">
        <v>203</v>
      </c>
      <c r="J172" s="536"/>
      <c r="K172" s="536" t="s">
        <v>204</v>
      </c>
      <c r="L172" s="536"/>
      <c r="M172" s="537" t="s">
        <v>205</v>
      </c>
      <c r="N172" s="538"/>
      <c r="O172" s="539"/>
      <c r="P172" s="536" t="s">
        <v>206</v>
      </c>
      <c r="Q172" s="536"/>
      <c r="R172" s="536" t="s">
        <v>207</v>
      </c>
      <c r="S172" s="536"/>
      <c r="T172" s="536"/>
      <c r="U172" s="167" t="s">
        <v>208</v>
      </c>
      <c r="V172" s="536" t="s">
        <v>209</v>
      </c>
      <c r="W172" s="536"/>
      <c r="X172" s="167" t="s">
        <v>210</v>
      </c>
      <c r="Y172" s="167" t="s">
        <v>211</v>
      </c>
      <c r="Z172" s="540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41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7">SUM(C179)</f>
        <v>0</v>
      </c>
      <c r="D180" s="160">
        <f t="shared" si="37"/>
        <v>0</v>
      </c>
      <c r="E180" s="160">
        <f t="shared" si="37"/>
        <v>0</v>
      </c>
      <c r="F180" s="160">
        <f t="shared" si="37"/>
        <v>0</v>
      </c>
      <c r="G180" s="160">
        <f t="shared" si="37"/>
        <v>0</v>
      </c>
      <c r="H180" s="160">
        <f t="shared" si="37"/>
        <v>0</v>
      </c>
      <c r="I180" s="160">
        <f t="shared" si="37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8">SUM(O179)</f>
        <v>0</v>
      </c>
      <c r="P180" s="160">
        <f t="shared" si="38"/>
        <v>0</v>
      </c>
      <c r="Q180" s="160">
        <f t="shared" si="38"/>
        <v>0</v>
      </c>
      <c r="R180" s="160">
        <f t="shared" si="38"/>
        <v>0</v>
      </c>
      <c r="S180" s="160">
        <f t="shared" si="38"/>
        <v>0</v>
      </c>
      <c r="T180" s="160">
        <f t="shared" si="38"/>
        <v>0</v>
      </c>
      <c r="U180" s="160">
        <f t="shared" si="38"/>
        <v>0</v>
      </c>
      <c r="V180" s="160">
        <f t="shared" si="38"/>
        <v>0</v>
      </c>
      <c r="W180" s="160">
        <f t="shared" si="38"/>
        <v>0</v>
      </c>
      <c r="X180" s="160">
        <f t="shared" si="38"/>
        <v>0</v>
      </c>
      <c r="Y180" s="160">
        <f t="shared" si="38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9">B174+B180</f>
        <v>0</v>
      </c>
      <c r="C181" s="161">
        <f t="shared" si="39"/>
        <v>0</v>
      </c>
      <c r="D181" s="161">
        <f t="shared" si="39"/>
        <v>0</v>
      </c>
      <c r="E181" s="161">
        <f t="shared" si="39"/>
        <v>0</v>
      </c>
      <c r="F181" s="161">
        <f t="shared" si="39"/>
        <v>0</v>
      </c>
      <c r="G181" s="161">
        <f t="shared" si="39"/>
        <v>0</v>
      </c>
      <c r="H181" s="161">
        <f t="shared" si="39"/>
        <v>0</v>
      </c>
      <c r="I181" s="161">
        <f t="shared" si="39"/>
        <v>0</v>
      </c>
      <c r="J181" s="161">
        <f t="shared" si="39"/>
        <v>0</v>
      </c>
      <c r="K181" s="161">
        <f t="shared" si="39"/>
        <v>0</v>
      </c>
      <c r="L181" s="161">
        <f t="shared" si="39"/>
        <v>0</v>
      </c>
      <c r="M181" s="161">
        <f t="shared" si="39"/>
        <v>0</v>
      </c>
      <c r="N181" s="161">
        <f t="shared" si="39"/>
        <v>0</v>
      </c>
      <c r="O181" s="161">
        <f t="shared" si="39"/>
        <v>0</v>
      </c>
      <c r="P181" s="161">
        <f t="shared" si="39"/>
        <v>0</v>
      </c>
      <c r="Q181" s="161">
        <f t="shared" si="39"/>
        <v>0</v>
      </c>
      <c r="R181" s="161">
        <f t="shared" si="39"/>
        <v>0</v>
      </c>
      <c r="S181" s="161">
        <f t="shared" si="39"/>
        <v>0</v>
      </c>
      <c r="T181" s="161">
        <f t="shared" si="39"/>
        <v>0</v>
      </c>
      <c r="U181" s="161">
        <f t="shared" si="39"/>
        <v>0</v>
      </c>
      <c r="V181" s="161">
        <f t="shared" si="39"/>
        <v>0</v>
      </c>
      <c r="W181" s="161">
        <f t="shared" si="39"/>
        <v>0</v>
      </c>
      <c r="X181" s="161">
        <f t="shared" si="39"/>
        <v>0</v>
      </c>
      <c r="Y181" s="161">
        <f t="shared" si="39"/>
        <v>568806</v>
      </c>
      <c r="Z181" s="144">
        <f t="shared" si="39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40">SUM(B183:B186)</f>
        <v>0</v>
      </c>
      <c r="C187" s="138">
        <f t="shared" si="40"/>
        <v>0</v>
      </c>
      <c r="D187" s="138">
        <f t="shared" si="40"/>
        <v>0</v>
      </c>
      <c r="E187" s="138">
        <f t="shared" si="40"/>
        <v>0</v>
      </c>
      <c r="F187" s="138">
        <f t="shared" si="40"/>
        <v>0</v>
      </c>
      <c r="G187" s="138">
        <f t="shared" si="40"/>
        <v>0</v>
      </c>
      <c r="H187" s="138">
        <f t="shared" si="40"/>
        <v>0</v>
      </c>
      <c r="I187" s="138">
        <f t="shared" si="40"/>
        <v>0</v>
      </c>
      <c r="J187" s="138">
        <f t="shared" si="40"/>
        <v>0</v>
      </c>
      <c r="K187" s="138">
        <f t="shared" si="40"/>
        <v>0</v>
      </c>
      <c r="L187" s="138">
        <f t="shared" si="40"/>
        <v>0</v>
      </c>
      <c r="M187" s="138">
        <f t="shared" si="40"/>
        <v>0</v>
      </c>
      <c r="N187" s="138">
        <f t="shared" si="40"/>
        <v>0</v>
      </c>
      <c r="O187" s="138">
        <f t="shared" si="40"/>
        <v>0</v>
      </c>
      <c r="P187" s="138">
        <f t="shared" si="40"/>
        <v>0</v>
      </c>
      <c r="Q187" s="138">
        <f t="shared" si="40"/>
        <v>0</v>
      </c>
      <c r="R187" s="138">
        <f t="shared" si="40"/>
        <v>0</v>
      </c>
      <c r="S187" s="138">
        <f t="shared" si="40"/>
        <v>0</v>
      </c>
      <c r="T187" s="138">
        <f t="shared" si="40"/>
        <v>0</v>
      </c>
      <c r="U187" s="138">
        <f t="shared" si="40"/>
        <v>0</v>
      </c>
      <c r="V187" s="138">
        <f t="shared" si="40"/>
        <v>0</v>
      </c>
      <c r="W187" s="138">
        <f t="shared" si="40"/>
        <v>0</v>
      </c>
      <c r="X187" s="138">
        <f t="shared" si="40"/>
        <v>0</v>
      </c>
      <c r="Y187" s="138">
        <f t="shared" si="40"/>
        <v>0</v>
      </c>
      <c r="Z187" s="140">
        <f t="shared" si="40"/>
        <v>0</v>
      </c>
    </row>
    <row r="188" spans="1:26" ht="20.25" customHeight="1" thickBot="1">
      <c r="A188" s="128" t="s">
        <v>238</v>
      </c>
      <c r="B188" s="137">
        <f t="shared" ref="B188:Y188" si="41">B182+B187</f>
        <v>0</v>
      </c>
      <c r="C188" s="137">
        <f t="shared" si="41"/>
        <v>0</v>
      </c>
      <c r="D188" s="137">
        <f t="shared" si="41"/>
        <v>0</v>
      </c>
      <c r="E188" s="137">
        <f t="shared" si="41"/>
        <v>0</v>
      </c>
      <c r="F188" s="137">
        <f t="shared" si="41"/>
        <v>0</v>
      </c>
      <c r="G188" s="137">
        <f t="shared" si="41"/>
        <v>0</v>
      </c>
      <c r="H188" s="137">
        <f t="shared" si="41"/>
        <v>0</v>
      </c>
      <c r="I188" s="137">
        <f t="shared" si="41"/>
        <v>0</v>
      </c>
      <c r="J188" s="137">
        <f t="shared" si="41"/>
        <v>0</v>
      </c>
      <c r="K188" s="137">
        <f t="shared" si="41"/>
        <v>0</v>
      </c>
      <c r="L188" s="137">
        <f t="shared" si="41"/>
        <v>0</v>
      </c>
      <c r="M188" s="137">
        <f t="shared" si="41"/>
        <v>0</v>
      </c>
      <c r="N188" s="137">
        <f t="shared" si="41"/>
        <v>0</v>
      </c>
      <c r="O188" s="137">
        <f t="shared" si="41"/>
        <v>0</v>
      </c>
      <c r="P188" s="137">
        <f t="shared" si="41"/>
        <v>0</v>
      </c>
      <c r="Q188" s="137">
        <f t="shared" si="41"/>
        <v>0</v>
      </c>
      <c r="R188" s="137">
        <f t="shared" si="41"/>
        <v>0</v>
      </c>
      <c r="S188" s="137">
        <f t="shared" si="41"/>
        <v>0</v>
      </c>
      <c r="T188" s="137">
        <f t="shared" si="41"/>
        <v>0</v>
      </c>
      <c r="U188" s="137">
        <f t="shared" si="41"/>
        <v>0</v>
      </c>
      <c r="V188" s="137">
        <f t="shared" si="41"/>
        <v>0</v>
      </c>
      <c r="W188" s="137">
        <f t="shared" si="41"/>
        <v>0</v>
      </c>
      <c r="X188" s="137">
        <f t="shared" si="41"/>
        <v>0</v>
      </c>
      <c r="Y188" s="137">
        <f t="shared" si="41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2">C181+C188</f>
        <v>0</v>
      </c>
      <c r="D189" s="160">
        <f t="shared" si="42"/>
        <v>0</v>
      </c>
      <c r="E189" s="160">
        <f t="shared" si="42"/>
        <v>0</v>
      </c>
      <c r="F189" s="160">
        <f t="shared" si="42"/>
        <v>0</v>
      </c>
      <c r="G189" s="160">
        <f t="shared" si="42"/>
        <v>0</v>
      </c>
      <c r="H189" s="160">
        <f t="shared" si="42"/>
        <v>0</v>
      </c>
      <c r="I189" s="160">
        <f t="shared" si="42"/>
        <v>0</v>
      </c>
      <c r="J189" s="160">
        <f t="shared" si="42"/>
        <v>0</v>
      </c>
      <c r="K189" s="160">
        <f t="shared" si="42"/>
        <v>0</v>
      </c>
      <c r="L189" s="160">
        <f t="shared" si="42"/>
        <v>0</v>
      </c>
      <c r="M189" s="160">
        <f t="shared" si="42"/>
        <v>0</v>
      </c>
      <c r="N189" s="160">
        <f>N181+N188</f>
        <v>0</v>
      </c>
      <c r="O189" s="160">
        <f t="shared" ref="O189" si="43">O181+O188</f>
        <v>0</v>
      </c>
      <c r="P189" s="160">
        <f t="shared" ref="P189" si="44">P181+P188</f>
        <v>0</v>
      </c>
      <c r="Q189" s="160">
        <f t="shared" ref="Q189" si="45">Q181+Q188</f>
        <v>0</v>
      </c>
      <c r="R189" s="160">
        <f t="shared" ref="R189" si="46">R181+R188</f>
        <v>0</v>
      </c>
      <c r="S189" s="160">
        <f t="shared" ref="S189" si="47">S181+S188</f>
        <v>0</v>
      </c>
      <c r="T189" s="160">
        <f t="shared" ref="T189" si="48">T181+T188</f>
        <v>0</v>
      </c>
      <c r="U189" s="160">
        <f t="shared" ref="U189" si="49">U181+U188</f>
        <v>0</v>
      </c>
      <c r="V189" s="160">
        <f t="shared" ref="V189" si="50">V181+V188</f>
        <v>0</v>
      </c>
      <c r="W189" s="160">
        <f t="shared" ref="W189" si="51">W181+W188</f>
        <v>0</v>
      </c>
      <c r="X189" s="160">
        <f t="shared" ref="X189" si="52">X181+X188</f>
        <v>0</v>
      </c>
      <c r="Y189" s="160">
        <f>Y181+Y188</f>
        <v>568806</v>
      </c>
      <c r="Z189" s="160">
        <f t="shared" ref="Z189:Z190" si="53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4">C181+C188</f>
        <v>0</v>
      </c>
      <c r="D190" s="165">
        <f t="shared" si="54"/>
        <v>0</v>
      </c>
      <c r="E190" s="165">
        <f t="shared" si="54"/>
        <v>0</v>
      </c>
      <c r="F190" s="165">
        <f t="shared" si="54"/>
        <v>0</v>
      </c>
      <c r="G190" s="165">
        <f t="shared" si="54"/>
        <v>0</v>
      </c>
      <c r="H190" s="165">
        <f t="shared" si="54"/>
        <v>0</v>
      </c>
      <c r="I190" s="165">
        <f t="shared" si="54"/>
        <v>0</v>
      </c>
      <c r="J190" s="165">
        <f t="shared" si="54"/>
        <v>0</v>
      </c>
      <c r="K190" s="165">
        <f t="shared" si="54"/>
        <v>0</v>
      </c>
      <c r="L190" s="165">
        <f t="shared" si="54"/>
        <v>0</v>
      </c>
      <c r="M190" s="165">
        <f t="shared" si="54"/>
        <v>0</v>
      </c>
      <c r="N190" s="165">
        <f t="shared" si="54"/>
        <v>0</v>
      </c>
      <c r="O190" s="165">
        <f t="shared" ref="O190:Y190" si="55">O60+O69+O80+O99+O107+O121+O140+O150+O159+O181+O188</f>
        <v>0</v>
      </c>
      <c r="P190" s="165">
        <f t="shared" si="55"/>
        <v>0</v>
      </c>
      <c r="Q190" s="165">
        <f t="shared" si="55"/>
        <v>0</v>
      </c>
      <c r="R190" s="165">
        <f t="shared" si="55"/>
        <v>0</v>
      </c>
      <c r="S190" s="165">
        <f t="shared" si="55"/>
        <v>0</v>
      </c>
      <c r="T190" s="165">
        <f t="shared" si="55"/>
        <v>0</v>
      </c>
      <c r="U190" s="165">
        <f t="shared" si="55"/>
        <v>0</v>
      </c>
      <c r="V190" s="165">
        <f t="shared" si="55"/>
        <v>0</v>
      </c>
      <c r="W190" s="165">
        <f t="shared" si="55"/>
        <v>0</v>
      </c>
      <c r="X190" s="165">
        <f t="shared" si="55"/>
        <v>16500</v>
      </c>
      <c r="Y190" s="165">
        <f t="shared" si="55"/>
        <v>568806</v>
      </c>
      <c r="Z190" s="160">
        <f t="shared" si="53"/>
        <v>568806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24" customWidth="1"/>
    <col min="2" max="2" width="8.6640625" style="224" customWidth="1"/>
    <col min="3" max="6" width="9.109375" style="225"/>
    <col min="7" max="7" width="9.33203125" style="225" customWidth="1"/>
    <col min="8" max="22" width="9.109375" style="225"/>
    <col min="23" max="23" width="9.109375" style="226"/>
    <col min="24" max="24" width="9.109375" style="222"/>
    <col min="25" max="25" width="9.109375" style="223"/>
    <col min="26" max="16384" width="9.109375" style="224"/>
  </cols>
  <sheetData>
    <row r="1" spans="1:26">
      <c r="A1" s="552" t="s">
        <v>289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</row>
    <row r="2" spans="1:26">
      <c r="A2" s="552" t="s">
        <v>197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</row>
    <row r="3" spans="1:26">
      <c r="A3" s="552" t="s">
        <v>290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</row>
    <row r="4" spans="1:26">
      <c r="A4" s="552" t="s">
        <v>291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</row>
    <row r="6" spans="1:26">
      <c r="A6" s="227"/>
      <c r="B6" s="228"/>
      <c r="C6" s="229" t="s">
        <v>211</v>
      </c>
      <c r="D6" s="545" t="s">
        <v>200</v>
      </c>
      <c r="E6" s="546"/>
      <c r="F6" s="545" t="s">
        <v>201</v>
      </c>
      <c r="G6" s="546"/>
      <c r="H6" s="545" t="s">
        <v>202</v>
      </c>
      <c r="I6" s="546"/>
      <c r="J6" s="545" t="s">
        <v>203</v>
      </c>
      <c r="K6" s="546"/>
      <c r="L6" s="545" t="s">
        <v>204</v>
      </c>
      <c r="M6" s="546"/>
      <c r="N6" s="545" t="s">
        <v>205</v>
      </c>
      <c r="O6" s="547"/>
      <c r="P6" s="545" t="s">
        <v>206</v>
      </c>
      <c r="Q6" s="546"/>
      <c r="R6" s="545" t="s">
        <v>207</v>
      </c>
      <c r="S6" s="547"/>
      <c r="T6" s="229" t="s">
        <v>292</v>
      </c>
      <c r="U6" s="229" t="s">
        <v>209</v>
      </c>
      <c r="V6" s="229" t="s">
        <v>210</v>
      </c>
      <c r="W6" s="548" t="s">
        <v>54</v>
      </c>
    </row>
    <row r="7" spans="1:26">
      <c r="A7" s="230"/>
      <c r="B7" s="231"/>
      <c r="C7" s="229" t="s">
        <v>236</v>
      </c>
      <c r="D7" s="232" t="s">
        <v>213</v>
      </c>
      <c r="E7" s="233" t="s">
        <v>214</v>
      </c>
      <c r="F7" s="229" t="s">
        <v>215</v>
      </c>
      <c r="G7" s="229" t="s">
        <v>216</v>
      </c>
      <c r="H7" s="229" t="s">
        <v>217</v>
      </c>
      <c r="I7" s="229" t="s">
        <v>218</v>
      </c>
      <c r="J7" s="229" t="s">
        <v>220</v>
      </c>
      <c r="K7" s="229" t="s">
        <v>221</v>
      </c>
      <c r="L7" s="229" t="s">
        <v>222</v>
      </c>
      <c r="M7" s="229" t="s">
        <v>223</v>
      </c>
      <c r="N7" s="234" t="s">
        <v>224</v>
      </c>
      <c r="O7" s="229" t="s">
        <v>225</v>
      </c>
      <c r="P7" s="229" t="s">
        <v>227</v>
      </c>
      <c r="Q7" s="229" t="s">
        <v>228</v>
      </c>
      <c r="R7" s="229" t="s">
        <v>229</v>
      </c>
      <c r="S7" s="229" t="s">
        <v>230</v>
      </c>
      <c r="T7" s="229" t="s">
        <v>293</v>
      </c>
      <c r="U7" s="229" t="s">
        <v>233</v>
      </c>
      <c r="V7" s="229" t="s">
        <v>235</v>
      </c>
      <c r="W7" s="549"/>
    </row>
    <row r="8" spans="1:26">
      <c r="A8" s="235" t="s">
        <v>192</v>
      </c>
      <c r="B8" s="236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8"/>
    </row>
    <row r="9" spans="1:26">
      <c r="A9" s="235"/>
      <c r="B9" s="236" t="s">
        <v>294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8">
        <f>SUM(C9:V9)</f>
        <v>0</v>
      </c>
    </row>
    <row r="10" spans="1:26">
      <c r="A10" s="235"/>
      <c r="B10" s="236" t="s">
        <v>295</v>
      </c>
      <c r="C10" s="237">
        <v>0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8">
        <f t="shared" ref="W10:W16" si="0">SUM(C10:V10)</f>
        <v>0</v>
      </c>
    </row>
    <row r="11" spans="1:26">
      <c r="A11" s="235"/>
      <c r="B11" s="236" t="s">
        <v>296</v>
      </c>
      <c r="C11" s="237">
        <v>0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>
        <f t="shared" si="0"/>
        <v>0</v>
      </c>
    </row>
    <row r="12" spans="1:26">
      <c r="A12" s="235"/>
      <c r="B12" s="236" t="s">
        <v>297</v>
      </c>
      <c r="C12" s="237"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8">
        <f t="shared" si="0"/>
        <v>0</v>
      </c>
    </row>
    <row r="13" spans="1:26">
      <c r="A13" s="235"/>
      <c r="B13" s="236" t="s">
        <v>298</v>
      </c>
      <c r="C13" s="237">
        <v>0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8">
        <f t="shared" si="0"/>
        <v>0</v>
      </c>
    </row>
    <row r="14" spans="1:26">
      <c r="A14" s="239"/>
      <c r="B14" s="236" t="s">
        <v>299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8">
        <f t="shared" si="0"/>
        <v>0</v>
      </c>
    </row>
    <row r="15" spans="1:26" s="246" customFormat="1" ht="19.2">
      <c r="A15" s="240"/>
      <c r="B15" s="241" t="s">
        <v>237</v>
      </c>
      <c r="C15" s="242">
        <f>SUM(C9:C14)</f>
        <v>0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3">
        <f>SUM(W9:W14)</f>
        <v>0</v>
      </c>
      <c r="X15" s="244"/>
      <c r="Y15" s="245"/>
    </row>
    <row r="16" spans="1:26" s="246" customFormat="1" ht="19.8" thickBot="1">
      <c r="A16" s="247"/>
      <c r="B16" s="248" t="s">
        <v>300</v>
      </c>
      <c r="C16" s="249">
        <f>0</f>
        <v>0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50">
        <f t="shared" si="0"/>
        <v>0</v>
      </c>
      <c r="X16" s="244"/>
      <c r="Y16" s="245"/>
      <c r="Z16" s="251"/>
    </row>
    <row r="17" spans="1:26" ht="21" thickTop="1">
      <c r="A17" s="252" t="s">
        <v>132</v>
      </c>
      <c r="B17" s="253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5"/>
    </row>
    <row r="18" spans="1:26">
      <c r="A18" s="252"/>
      <c r="B18" s="253" t="s">
        <v>301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38">
        <f t="shared" ref="W18:W24" si="1">SUM(C18:V18)</f>
        <v>0</v>
      </c>
      <c r="Y18" s="256"/>
    </row>
    <row r="19" spans="1:26">
      <c r="A19" s="239"/>
      <c r="B19" s="236" t="s">
        <v>302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8">
        <f t="shared" si="1"/>
        <v>0</v>
      </c>
    </row>
    <row r="20" spans="1:26">
      <c r="A20" s="239"/>
      <c r="B20" s="236" t="s">
        <v>186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8">
        <f t="shared" si="1"/>
        <v>0</v>
      </c>
    </row>
    <row r="21" spans="1:26">
      <c r="A21" s="239"/>
      <c r="B21" s="236" t="s">
        <v>166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>
        <f t="shared" si="1"/>
        <v>0</v>
      </c>
    </row>
    <row r="22" spans="1:26">
      <c r="A22" s="239"/>
      <c r="B22" s="236" t="s">
        <v>187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>
        <f t="shared" si="1"/>
        <v>0</v>
      </c>
    </row>
    <row r="23" spans="1:26" s="246" customFormat="1" ht="19.2">
      <c r="A23" s="240"/>
      <c r="B23" s="241" t="s">
        <v>237</v>
      </c>
      <c r="C23" s="242"/>
      <c r="D23" s="242">
        <f>SUM(D18:D22)</f>
        <v>0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3">
        <f t="shared" si="1"/>
        <v>0</v>
      </c>
      <c r="X23" s="244"/>
      <c r="Y23" s="245"/>
    </row>
    <row r="24" spans="1:26" s="246" customFormat="1" ht="19.8" thickBot="1">
      <c r="A24" s="247"/>
      <c r="B24" s="248" t="s">
        <v>300</v>
      </c>
      <c r="C24" s="249"/>
      <c r="D24" s="249">
        <f>0</f>
        <v>0</v>
      </c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50">
        <f t="shared" si="1"/>
        <v>0</v>
      </c>
      <c r="X24" s="244"/>
      <c r="Y24" s="245"/>
      <c r="Z24" s="251"/>
    </row>
    <row r="25" spans="1:26" ht="21" thickTop="1">
      <c r="A25" s="257" t="s">
        <v>133</v>
      </c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</row>
    <row r="26" spans="1:26">
      <c r="A26" s="261"/>
      <c r="B26" s="253" t="s">
        <v>303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43">
        <f>SUM(C26:V26)</f>
        <v>0</v>
      </c>
    </row>
    <row r="27" spans="1:26">
      <c r="A27" s="261"/>
      <c r="B27" s="236" t="s">
        <v>304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43">
        <f t="shared" ref="W27:W34" si="2">SUM(C27:V27)</f>
        <v>0</v>
      </c>
    </row>
    <row r="28" spans="1:26">
      <c r="A28" s="261"/>
      <c r="B28" s="236" t="s">
        <v>305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43">
        <f t="shared" si="2"/>
        <v>0</v>
      </c>
    </row>
    <row r="29" spans="1:26">
      <c r="A29" s="261"/>
      <c r="B29" s="236" t="s">
        <v>306</v>
      </c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43">
        <f t="shared" si="2"/>
        <v>0</v>
      </c>
    </row>
    <row r="30" spans="1:26">
      <c r="A30" s="261"/>
      <c r="B30" s="236" t="s">
        <v>307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43">
        <f t="shared" si="2"/>
        <v>0</v>
      </c>
    </row>
    <row r="31" spans="1:26">
      <c r="A31" s="261"/>
      <c r="B31" s="236" t="s">
        <v>308</v>
      </c>
      <c r="C31" s="254"/>
      <c r="D31" s="254"/>
      <c r="E31" s="254"/>
      <c r="F31" s="254"/>
      <c r="G31" s="254"/>
      <c r="H31" s="254">
        <v>0</v>
      </c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43">
        <f t="shared" si="2"/>
        <v>0</v>
      </c>
    </row>
    <row r="32" spans="1:26">
      <c r="A32" s="261"/>
      <c r="B32" s="253" t="s">
        <v>309</v>
      </c>
      <c r="C32" s="254"/>
      <c r="D32" s="254">
        <v>0</v>
      </c>
      <c r="E32" s="254">
        <v>0</v>
      </c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43">
        <f t="shared" si="2"/>
        <v>0</v>
      </c>
    </row>
    <row r="33" spans="1:26">
      <c r="A33" s="261"/>
      <c r="B33" s="253" t="s">
        <v>310</v>
      </c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43">
        <f t="shared" si="2"/>
        <v>0</v>
      </c>
    </row>
    <row r="34" spans="1:26">
      <c r="A34" s="261"/>
      <c r="B34" s="253" t="s">
        <v>311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43">
        <f t="shared" si="2"/>
        <v>0</v>
      </c>
    </row>
    <row r="35" spans="1:26" s="246" customFormat="1" ht="19.2">
      <c r="A35" s="240"/>
      <c r="B35" s="241" t="s">
        <v>237</v>
      </c>
      <c r="C35" s="242"/>
      <c r="D35" s="242">
        <f>SUM(D26:D34)</f>
        <v>0</v>
      </c>
      <c r="E35" s="242">
        <f>SUM(E26:E34)</f>
        <v>0</v>
      </c>
      <c r="F35" s="242">
        <f t="shared" ref="F35:N35" si="3">SUM(F26:F34)</f>
        <v>0</v>
      </c>
      <c r="G35" s="242">
        <f t="shared" si="3"/>
        <v>0</v>
      </c>
      <c r="H35" s="242">
        <f t="shared" si="3"/>
        <v>0</v>
      </c>
      <c r="I35" s="242">
        <f t="shared" si="3"/>
        <v>0</v>
      </c>
      <c r="J35" s="242">
        <f t="shared" si="3"/>
        <v>0</v>
      </c>
      <c r="K35" s="242">
        <f t="shared" si="3"/>
        <v>0</v>
      </c>
      <c r="L35" s="242">
        <f t="shared" si="3"/>
        <v>0</v>
      </c>
      <c r="M35" s="242">
        <f t="shared" si="3"/>
        <v>0</v>
      </c>
      <c r="N35" s="242">
        <f t="shared" si="3"/>
        <v>0</v>
      </c>
      <c r="O35" s="242"/>
      <c r="P35" s="242"/>
      <c r="Q35" s="242"/>
      <c r="R35" s="242"/>
      <c r="S35" s="242"/>
      <c r="T35" s="242"/>
      <c r="U35" s="242"/>
      <c r="V35" s="242"/>
      <c r="W35" s="243">
        <f>SUM(C35:V35)</f>
        <v>0</v>
      </c>
      <c r="X35" s="244"/>
      <c r="Y35" s="245"/>
    </row>
    <row r="36" spans="1:26" s="246" customFormat="1" ht="19.8" thickBot="1">
      <c r="A36" s="247"/>
      <c r="B36" s="248" t="s">
        <v>300</v>
      </c>
      <c r="C36" s="249"/>
      <c r="D36" s="249"/>
      <c r="E36" s="249"/>
      <c r="F36" s="249"/>
      <c r="G36" s="249"/>
      <c r="H36" s="249">
        <v>0</v>
      </c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50">
        <f>SUM(C36:V36)</f>
        <v>0</v>
      </c>
      <c r="X36" s="244"/>
      <c r="Y36" s="245"/>
      <c r="Z36" s="251"/>
    </row>
    <row r="37" spans="1:26" s="267" customFormat="1" ht="21" thickTop="1">
      <c r="A37" s="262" t="s">
        <v>134</v>
      </c>
      <c r="B37" s="263"/>
      <c r="C37" s="264"/>
      <c r="D37" s="264"/>
      <c r="E37" s="264"/>
      <c r="F37" s="264"/>
      <c r="G37" s="264"/>
      <c r="H37" s="264" t="s">
        <v>272</v>
      </c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43">
        <f t="shared" ref="W37:W44" si="4">SUM(C37:V37)</f>
        <v>0</v>
      </c>
      <c r="X37" s="265"/>
      <c r="Y37" s="266"/>
    </row>
    <row r="38" spans="1:26" s="267" customFormat="1">
      <c r="A38" s="268"/>
      <c r="B38" s="269" t="s">
        <v>312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43">
        <f t="shared" si="4"/>
        <v>0</v>
      </c>
      <c r="X38" s="265"/>
      <c r="Y38" s="266"/>
    </row>
    <row r="39" spans="1:26" s="267" customFormat="1">
      <c r="A39" s="268"/>
      <c r="B39" s="269" t="s">
        <v>313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43">
        <f t="shared" si="4"/>
        <v>0</v>
      </c>
      <c r="X39" s="265"/>
      <c r="Y39" s="266"/>
    </row>
    <row r="40" spans="1:26" s="267" customFormat="1">
      <c r="A40" s="268"/>
      <c r="B40" s="269" t="s">
        <v>314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43">
        <f t="shared" si="4"/>
        <v>0</v>
      </c>
      <c r="X40" s="265"/>
      <c r="Y40" s="266"/>
    </row>
    <row r="41" spans="1:26" s="267" customFormat="1">
      <c r="A41" s="268"/>
      <c r="B41" s="269" t="s">
        <v>315</v>
      </c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43">
        <f t="shared" si="4"/>
        <v>0</v>
      </c>
      <c r="X41" s="265"/>
      <c r="Y41" s="266"/>
    </row>
    <row r="42" spans="1:26" s="267" customFormat="1">
      <c r="A42" s="268"/>
      <c r="B42" s="269" t="s">
        <v>316</v>
      </c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43">
        <f t="shared" si="4"/>
        <v>0</v>
      </c>
      <c r="X42" s="265"/>
      <c r="Y42" s="266"/>
    </row>
    <row r="43" spans="1:26" s="267" customFormat="1">
      <c r="A43" s="268"/>
      <c r="B43" s="269" t="s">
        <v>317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43">
        <f t="shared" si="4"/>
        <v>0</v>
      </c>
      <c r="X43" s="265"/>
      <c r="Y43" s="266"/>
    </row>
    <row r="44" spans="1:26" s="276" customFormat="1" ht="19.2">
      <c r="A44" s="271"/>
      <c r="B44" s="272" t="s">
        <v>237</v>
      </c>
      <c r="C44" s="273"/>
      <c r="D44" s="273">
        <f>SUM(D38:D43)</f>
        <v>0</v>
      </c>
      <c r="E44" s="273">
        <f>SUM(E38:E43)</f>
        <v>0</v>
      </c>
      <c r="F44" s="273"/>
      <c r="G44" s="273"/>
      <c r="H44" s="273"/>
      <c r="I44" s="273"/>
      <c r="J44" s="273"/>
      <c r="K44" s="273"/>
      <c r="L44" s="273"/>
      <c r="M44" s="273"/>
      <c r="N44" s="273">
        <f>SUM(N38:N43)</f>
        <v>0</v>
      </c>
      <c r="O44" s="273"/>
      <c r="P44" s="273"/>
      <c r="Q44" s="273"/>
      <c r="R44" s="273"/>
      <c r="S44" s="273"/>
      <c r="T44" s="273"/>
      <c r="U44" s="273"/>
      <c r="V44" s="273"/>
      <c r="W44" s="243">
        <f t="shared" si="4"/>
        <v>0</v>
      </c>
      <c r="X44" s="274"/>
      <c r="Y44" s="275"/>
    </row>
    <row r="45" spans="1:26" s="276" customFormat="1" ht="19.8" thickBot="1">
      <c r="A45" s="277"/>
      <c r="B45" s="278" t="s">
        <v>300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50">
        <f>SUM(C45:V45)</f>
        <v>0</v>
      </c>
      <c r="X45" s="280"/>
      <c r="Y45" s="275"/>
      <c r="Z45" s="251"/>
    </row>
    <row r="46" spans="1:26" ht="21" thickTop="1">
      <c r="A46" s="262" t="s">
        <v>135</v>
      </c>
      <c r="B46" s="263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81"/>
    </row>
    <row r="47" spans="1:26">
      <c r="A47" s="262"/>
      <c r="B47" s="263" t="s">
        <v>318</v>
      </c>
      <c r="C47" s="264"/>
      <c r="D47" s="264"/>
      <c r="E47" s="264"/>
      <c r="F47" s="282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81">
        <f>SUM(C47:V47)</f>
        <v>0</v>
      </c>
      <c r="Y47" s="256"/>
    </row>
    <row r="48" spans="1:26">
      <c r="A48" s="262"/>
      <c r="B48" s="263" t="s">
        <v>319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81">
        <f>SUM(C48:V48)</f>
        <v>0</v>
      </c>
    </row>
    <row r="49" spans="1:28">
      <c r="A49" s="262"/>
      <c r="B49" s="263" t="s">
        <v>320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81">
        <f>SUM(C49:V49)</f>
        <v>0</v>
      </c>
    </row>
    <row r="50" spans="1:28">
      <c r="A50" s="268"/>
      <c r="B50" s="269" t="s">
        <v>321</v>
      </c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83">
        <f>SUM(C50:V50)</f>
        <v>0</v>
      </c>
      <c r="AB50" s="284"/>
    </row>
    <row r="51" spans="1:28" s="291" customFormat="1" ht="19.2">
      <c r="A51" s="285"/>
      <c r="B51" s="286" t="s">
        <v>237</v>
      </c>
      <c r="C51" s="287"/>
      <c r="D51" s="287">
        <f>SUM(D47:D50)</f>
        <v>0</v>
      </c>
      <c r="E51" s="287">
        <f>SUM(E47:E50)</f>
        <v>0</v>
      </c>
      <c r="F51" s="287"/>
      <c r="G51" s="287">
        <f>SUM(G47:G50)</f>
        <v>0</v>
      </c>
      <c r="H51" s="287">
        <f>SUM(H47:H50)</f>
        <v>0</v>
      </c>
      <c r="I51" s="287">
        <f>SUM(I47:I50)</f>
        <v>0</v>
      </c>
      <c r="J51" s="287">
        <f>SUM(J47:J50)</f>
        <v>0</v>
      </c>
      <c r="K51" s="287">
        <f>SUM(K47:K50)</f>
        <v>0</v>
      </c>
      <c r="L51" s="287"/>
      <c r="M51" s="287"/>
      <c r="N51" s="287">
        <f t="shared" ref="N51:S51" si="5">SUM(N47:N50)</f>
        <v>0</v>
      </c>
      <c r="O51" s="287">
        <f t="shared" si="5"/>
        <v>0</v>
      </c>
      <c r="P51" s="287">
        <f t="shared" si="5"/>
        <v>0</v>
      </c>
      <c r="Q51" s="287">
        <f t="shared" si="5"/>
        <v>0</v>
      </c>
      <c r="R51" s="287">
        <f t="shared" si="5"/>
        <v>0</v>
      </c>
      <c r="S51" s="287">
        <f t="shared" si="5"/>
        <v>0</v>
      </c>
      <c r="T51" s="287"/>
      <c r="U51" s="287"/>
      <c r="V51" s="287">
        <f>SUM(V47:V50)</f>
        <v>0</v>
      </c>
      <c r="W51" s="288">
        <f>SUM(W47:W50)</f>
        <v>0</v>
      </c>
      <c r="X51" s="289"/>
      <c r="Y51" s="290"/>
    </row>
    <row r="52" spans="1:28" s="291" customFormat="1" ht="19.8" thickBot="1">
      <c r="A52" s="292"/>
      <c r="B52" s="293" t="s">
        <v>300</v>
      </c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5"/>
      <c r="X52" s="289"/>
      <c r="Y52" s="290"/>
      <c r="Z52" s="251"/>
      <c r="AA52" s="296"/>
    </row>
    <row r="53" spans="1:28" s="299" customFormat="1" ht="21" thickTop="1">
      <c r="A53" s="262" t="s">
        <v>136</v>
      </c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81"/>
      <c r="X53" s="297"/>
      <c r="Y53" s="298"/>
      <c r="Z53" s="224"/>
    </row>
    <row r="54" spans="1:28" s="299" customFormat="1">
      <c r="A54" s="262"/>
      <c r="B54" s="263" t="s">
        <v>322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81">
        <f t="shared" ref="W54:W66" si="6">SUM(C54:V54)</f>
        <v>0</v>
      </c>
      <c r="X54" s="297"/>
      <c r="Y54" s="298"/>
      <c r="Z54" s="224"/>
    </row>
    <row r="55" spans="1:28" s="299" customFormat="1">
      <c r="A55" s="262"/>
      <c r="B55" s="263" t="s">
        <v>323</v>
      </c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81"/>
      <c r="X55" s="297"/>
      <c r="Y55" s="298"/>
    </row>
    <row r="56" spans="1:28" s="299" customFormat="1">
      <c r="A56" s="262"/>
      <c r="B56" s="263" t="s">
        <v>324</v>
      </c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81">
        <f t="shared" si="6"/>
        <v>0</v>
      </c>
      <c r="X56" s="297"/>
      <c r="Y56" s="300"/>
    </row>
    <row r="57" spans="1:28" s="299" customFormat="1">
      <c r="A57" s="262"/>
      <c r="B57" s="263" t="s">
        <v>325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81"/>
      <c r="X57" s="297"/>
      <c r="Y57" s="300"/>
    </row>
    <row r="58" spans="1:28" s="299" customFormat="1">
      <c r="A58" s="262"/>
      <c r="B58" s="263" t="s">
        <v>326</v>
      </c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81">
        <f t="shared" si="6"/>
        <v>0</v>
      </c>
      <c r="X58" s="297"/>
      <c r="Y58" s="300"/>
    </row>
    <row r="59" spans="1:28" s="299" customFormat="1">
      <c r="A59" s="262"/>
      <c r="B59" s="263" t="s">
        <v>327</v>
      </c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81">
        <f t="shared" si="6"/>
        <v>0</v>
      </c>
      <c r="X59" s="297"/>
      <c r="Y59" s="300"/>
    </row>
    <row r="60" spans="1:28" s="299" customFormat="1">
      <c r="A60" s="262"/>
      <c r="B60" s="263" t="s">
        <v>328</v>
      </c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81">
        <f t="shared" si="6"/>
        <v>0</v>
      </c>
      <c r="X60" s="297"/>
      <c r="Y60" s="300"/>
    </row>
    <row r="61" spans="1:28" s="299" customFormat="1">
      <c r="A61" s="262"/>
      <c r="B61" s="263" t="s">
        <v>329</v>
      </c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81">
        <f t="shared" si="6"/>
        <v>0</v>
      </c>
      <c r="X61" s="297"/>
      <c r="Y61" s="300"/>
    </row>
    <row r="62" spans="1:28" s="299" customFormat="1">
      <c r="A62" s="262"/>
      <c r="B62" s="263" t="s">
        <v>330</v>
      </c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81">
        <f t="shared" si="6"/>
        <v>0</v>
      </c>
      <c r="X62" s="297"/>
      <c r="Y62" s="300"/>
    </row>
    <row r="63" spans="1:28" s="299" customFormat="1">
      <c r="A63" s="262"/>
      <c r="B63" s="263" t="s">
        <v>331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81">
        <f t="shared" si="6"/>
        <v>0</v>
      </c>
      <c r="X63" s="297"/>
      <c r="Y63" s="300"/>
    </row>
    <row r="64" spans="1:28" s="299" customFormat="1">
      <c r="A64" s="262"/>
      <c r="B64" s="263" t="s">
        <v>332</v>
      </c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81">
        <f t="shared" si="6"/>
        <v>0</v>
      </c>
      <c r="X64" s="297"/>
      <c r="Y64" s="300"/>
    </row>
    <row r="65" spans="1:27" s="299" customFormat="1">
      <c r="A65" s="262"/>
      <c r="B65" s="263" t="s">
        <v>333</v>
      </c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81">
        <f t="shared" si="6"/>
        <v>0</v>
      </c>
      <c r="X65" s="297"/>
      <c r="Y65" s="300"/>
    </row>
    <row r="66" spans="1:27" s="299" customFormat="1">
      <c r="A66" s="262"/>
      <c r="B66" s="263" t="s">
        <v>334</v>
      </c>
      <c r="C66" s="264"/>
      <c r="D66" s="264"/>
      <c r="E66" s="264"/>
      <c r="F66" s="264"/>
      <c r="G66" s="264"/>
      <c r="H66" s="264">
        <v>0</v>
      </c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>
        <v>0</v>
      </c>
      <c r="W66" s="281">
        <f t="shared" si="6"/>
        <v>0</v>
      </c>
      <c r="X66" s="297"/>
      <c r="Y66" s="300"/>
    </row>
    <row r="67" spans="1:27" s="304" customFormat="1" ht="19.2">
      <c r="A67" s="271"/>
      <c r="B67" s="272" t="s">
        <v>237</v>
      </c>
      <c r="C67" s="273"/>
      <c r="D67" s="273">
        <f>SUM(D54:D64)</f>
        <v>0</v>
      </c>
      <c r="E67" s="273">
        <f t="shared" ref="E67:M67" si="7">SUM(E54:E66)</f>
        <v>0</v>
      </c>
      <c r="F67" s="273">
        <f t="shared" si="7"/>
        <v>0</v>
      </c>
      <c r="G67" s="273">
        <f t="shared" si="7"/>
        <v>0</v>
      </c>
      <c r="H67" s="273">
        <f t="shared" si="7"/>
        <v>0</v>
      </c>
      <c r="I67" s="273">
        <f t="shared" si="7"/>
        <v>0</v>
      </c>
      <c r="J67" s="273">
        <f t="shared" si="7"/>
        <v>0</v>
      </c>
      <c r="K67" s="273">
        <f t="shared" si="7"/>
        <v>0</v>
      </c>
      <c r="L67" s="273">
        <f t="shared" si="7"/>
        <v>0</v>
      </c>
      <c r="M67" s="273">
        <f t="shared" si="7"/>
        <v>0</v>
      </c>
      <c r="N67" s="273">
        <f>SUM(N54:N66)</f>
        <v>0</v>
      </c>
      <c r="O67" s="273"/>
      <c r="P67" s="273"/>
      <c r="Q67" s="273"/>
      <c r="R67" s="273"/>
      <c r="S67" s="273">
        <f>SUM(S54:S65)</f>
        <v>0</v>
      </c>
      <c r="T67" s="273"/>
      <c r="U67" s="273">
        <f>SUM(U53:U66)</f>
        <v>0</v>
      </c>
      <c r="V67" s="273">
        <f>SUM(V53:V66)</f>
        <v>0</v>
      </c>
      <c r="W67" s="301">
        <f>SUM(C67:V67)</f>
        <v>0</v>
      </c>
      <c r="X67" s="302"/>
      <c r="Y67" s="303"/>
    </row>
    <row r="68" spans="1:27" s="304" customFormat="1" ht="19.8" thickBot="1">
      <c r="A68" s="277"/>
      <c r="B68" s="278" t="s">
        <v>300</v>
      </c>
      <c r="C68" s="279"/>
      <c r="D68" s="279">
        <f>0</f>
        <v>0</v>
      </c>
      <c r="E68" s="279">
        <f>0</f>
        <v>0</v>
      </c>
      <c r="F68" s="279"/>
      <c r="G68" s="279"/>
      <c r="H68" s="279"/>
      <c r="I68" s="279"/>
      <c r="J68" s="279"/>
      <c r="K68" s="279"/>
      <c r="L68" s="279">
        <v>0</v>
      </c>
      <c r="M68" s="279"/>
      <c r="N68" s="279"/>
      <c r="O68" s="279"/>
      <c r="P68" s="279"/>
      <c r="Q68" s="279"/>
      <c r="R68" s="279"/>
      <c r="S68" s="279">
        <v>0</v>
      </c>
      <c r="T68" s="279"/>
      <c r="U68" s="279"/>
      <c r="V68" s="279">
        <v>0</v>
      </c>
      <c r="W68" s="305">
        <f>SUM(C68:V68)</f>
        <v>0</v>
      </c>
      <c r="X68" s="302" t="s">
        <v>335</v>
      </c>
      <c r="Y68" s="303"/>
      <c r="Z68" s="251"/>
      <c r="AA68" s="306"/>
    </row>
    <row r="69" spans="1:27" ht="21" thickTop="1">
      <c r="A69" s="252" t="s">
        <v>137</v>
      </c>
      <c r="B69" s="253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5"/>
    </row>
    <row r="70" spans="1:27">
      <c r="A70" s="252"/>
      <c r="B70" s="253" t="s">
        <v>336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5">
        <f>SUM(C70:V70)</f>
        <v>0</v>
      </c>
    </row>
    <row r="71" spans="1:27">
      <c r="A71" s="252"/>
      <c r="B71" s="253" t="s">
        <v>337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5">
        <f>SUM(C71:V71)</f>
        <v>0</v>
      </c>
    </row>
    <row r="72" spans="1:27">
      <c r="A72" s="252"/>
      <c r="B72" s="253" t="s">
        <v>338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5">
        <f>SUM(C72:V72)</f>
        <v>0</v>
      </c>
    </row>
    <row r="73" spans="1:27">
      <c r="A73" s="252"/>
      <c r="B73" s="253" t="s">
        <v>339</v>
      </c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5">
        <f>SUM(C73:V73)</f>
        <v>0</v>
      </c>
    </row>
    <row r="74" spans="1:27" s="246" customFormat="1" ht="19.2">
      <c r="A74" s="240"/>
      <c r="B74" s="241" t="s">
        <v>237</v>
      </c>
      <c r="C74" s="242">
        <f>SUM(C70:C73)</f>
        <v>0</v>
      </c>
      <c r="D74" s="242">
        <f>SUM(D70:D73)</f>
        <v>0</v>
      </c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>
        <f>SUM(V70:V73)</f>
        <v>0</v>
      </c>
      <c r="W74" s="243">
        <f>SUM(C74:V74)</f>
        <v>0</v>
      </c>
      <c r="X74" s="244"/>
      <c r="Y74" s="245"/>
    </row>
    <row r="75" spans="1:27" s="246" customFormat="1" ht="19.8" thickBot="1">
      <c r="A75" s="247"/>
      <c r="B75" s="248" t="s">
        <v>300</v>
      </c>
      <c r="C75" s="249">
        <v>0</v>
      </c>
      <c r="D75" s="249">
        <f>0</f>
        <v>0</v>
      </c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50"/>
      <c r="X75" s="244" t="s">
        <v>340</v>
      </c>
      <c r="Y75" s="245"/>
      <c r="Z75" s="251"/>
      <c r="AA75" s="251"/>
    </row>
    <row r="76" spans="1:27" s="299" customFormat="1" ht="21" thickTop="1">
      <c r="A76" s="262" t="s">
        <v>138</v>
      </c>
      <c r="B76" s="263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81"/>
      <c r="X76" s="297" t="s">
        <v>341</v>
      </c>
      <c r="Y76" s="300"/>
    </row>
    <row r="77" spans="1:27" s="299" customFormat="1" ht="21" thickBot="1">
      <c r="A77" s="262"/>
      <c r="B77" s="263" t="s">
        <v>342</v>
      </c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81">
        <f t="shared" ref="W77:W84" si="8">SUM(C77:V77)</f>
        <v>0</v>
      </c>
      <c r="X77" s="297" t="s">
        <v>54</v>
      </c>
      <c r="Y77" s="307"/>
    </row>
    <row r="78" spans="1:27" s="299" customFormat="1" ht="21" thickTop="1">
      <c r="A78" s="262"/>
      <c r="B78" s="263" t="s">
        <v>343</v>
      </c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81">
        <f t="shared" si="8"/>
        <v>0</v>
      </c>
      <c r="X78" s="297"/>
      <c r="Y78" s="300"/>
    </row>
    <row r="79" spans="1:27" s="299" customFormat="1">
      <c r="A79" s="262"/>
      <c r="B79" s="263" t="s">
        <v>344</v>
      </c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81">
        <f t="shared" si="8"/>
        <v>0</v>
      </c>
      <c r="X79" s="297"/>
      <c r="Y79" s="300"/>
    </row>
    <row r="80" spans="1:27" s="299" customFormat="1">
      <c r="A80" s="262"/>
      <c r="B80" s="263" t="s">
        <v>345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81">
        <f t="shared" si="8"/>
        <v>0</v>
      </c>
      <c r="X80" s="297"/>
      <c r="Y80" s="300"/>
    </row>
    <row r="81" spans="1:27" s="299" customFormat="1">
      <c r="A81" s="262"/>
      <c r="B81" s="263" t="s">
        <v>346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81"/>
      <c r="X81" s="297"/>
      <c r="Y81" s="300"/>
    </row>
    <row r="82" spans="1:27" s="299" customFormat="1">
      <c r="A82" s="262"/>
      <c r="B82" s="263" t="s">
        <v>347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81">
        <f t="shared" si="8"/>
        <v>0</v>
      </c>
      <c r="X82" s="297"/>
      <c r="Y82" s="300"/>
    </row>
    <row r="83" spans="1:27" s="304" customFormat="1" ht="19.2">
      <c r="A83" s="271"/>
      <c r="B83" s="272" t="s">
        <v>237</v>
      </c>
      <c r="C83" s="273">
        <f>SUM(C77:C82)</f>
        <v>0</v>
      </c>
      <c r="D83" s="273">
        <f>SUM(D77:D82)</f>
        <v>0</v>
      </c>
      <c r="E83" s="273">
        <f>SUM(E77:E82)</f>
        <v>0</v>
      </c>
      <c r="F83" s="273">
        <f>SUM(F77:F82)</f>
        <v>0</v>
      </c>
      <c r="G83" s="273">
        <f>SUM(G77:G82)</f>
        <v>0</v>
      </c>
      <c r="H83" s="273"/>
      <c r="I83" s="273"/>
      <c r="J83" s="273"/>
      <c r="K83" s="273"/>
      <c r="L83" s="273"/>
      <c r="M83" s="273"/>
      <c r="N83" s="273">
        <f>SUM(N77:N82)</f>
        <v>0</v>
      </c>
      <c r="O83" s="273"/>
      <c r="P83" s="273"/>
      <c r="Q83" s="273"/>
      <c r="R83" s="273"/>
      <c r="S83" s="273"/>
      <c r="T83" s="273"/>
      <c r="U83" s="273"/>
      <c r="V83" s="273"/>
      <c r="W83" s="301">
        <f t="shared" si="8"/>
        <v>0</v>
      </c>
      <c r="X83" s="302"/>
      <c r="Y83" s="303"/>
    </row>
    <row r="84" spans="1:27" s="304" customFormat="1" ht="19.8" thickBot="1">
      <c r="A84" s="277"/>
      <c r="B84" s="278" t="s">
        <v>300</v>
      </c>
      <c r="C84" s="279">
        <v>0</v>
      </c>
      <c r="D84" s="279">
        <f>0</f>
        <v>0</v>
      </c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305">
        <f t="shared" si="8"/>
        <v>0</v>
      </c>
      <c r="X84" s="302" t="s">
        <v>348</v>
      </c>
      <c r="Y84" s="303"/>
      <c r="Z84" s="251"/>
      <c r="AA84" s="251"/>
    </row>
    <row r="85" spans="1:27" ht="21" thickTop="1">
      <c r="A85" s="252" t="s">
        <v>139</v>
      </c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5">
        <f>SUM(C85:V85)</f>
        <v>0</v>
      </c>
    </row>
    <row r="86" spans="1:27">
      <c r="A86" s="252"/>
      <c r="B86" s="253" t="s">
        <v>349</v>
      </c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5">
        <f>SUM(C86:V86)</f>
        <v>0</v>
      </c>
    </row>
    <row r="87" spans="1:27">
      <c r="A87" s="252"/>
      <c r="B87" s="253" t="s">
        <v>118</v>
      </c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5">
        <f>SUM(C87:V87)</f>
        <v>0</v>
      </c>
    </row>
    <row r="88" spans="1:27" s="246" customFormat="1" ht="19.2">
      <c r="A88" s="240"/>
      <c r="B88" s="241" t="s">
        <v>237</v>
      </c>
      <c r="C88" s="242"/>
      <c r="D88" s="242">
        <f>SUM(D85:D87)</f>
        <v>0</v>
      </c>
      <c r="E88" s="242"/>
      <c r="F88" s="242">
        <f>SUM(F85:F87)</f>
        <v>0</v>
      </c>
      <c r="G88" s="242">
        <f>SUM(G85:G87)</f>
        <v>0</v>
      </c>
      <c r="H88" s="242">
        <f>SUM(H85:H87)</f>
        <v>0</v>
      </c>
      <c r="I88" s="242"/>
      <c r="J88" s="242"/>
      <c r="K88" s="242"/>
      <c r="L88" s="242"/>
      <c r="M88" s="242"/>
      <c r="N88" s="242">
        <v>0</v>
      </c>
      <c r="O88" s="242">
        <f>SUM(O85:O87)</f>
        <v>0</v>
      </c>
      <c r="P88" s="242"/>
      <c r="Q88" s="242">
        <f t="shared" ref="Q88:V88" si="9">SUM(Q85:Q87)</f>
        <v>0</v>
      </c>
      <c r="R88" s="242">
        <f t="shared" si="9"/>
        <v>0</v>
      </c>
      <c r="S88" s="242">
        <f t="shared" si="9"/>
        <v>0</v>
      </c>
      <c r="T88" s="242">
        <f t="shared" si="9"/>
        <v>0</v>
      </c>
      <c r="U88" s="242">
        <f t="shared" si="9"/>
        <v>0</v>
      </c>
      <c r="V88" s="242">
        <f t="shared" si="9"/>
        <v>0</v>
      </c>
      <c r="W88" s="243">
        <f>SUM(C88:V88)</f>
        <v>0</v>
      </c>
      <c r="X88" s="244"/>
      <c r="Y88" s="245"/>
    </row>
    <row r="89" spans="1:27" s="246" customFormat="1" ht="19.8" thickBot="1">
      <c r="A89" s="247"/>
      <c r="B89" s="248" t="s">
        <v>300</v>
      </c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>
        <v>0</v>
      </c>
      <c r="O89" s="249"/>
      <c r="P89" s="249"/>
      <c r="Q89" s="249"/>
      <c r="R89" s="249"/>
      <c r="S89" s="249"/>
      <c r="T89" s="249"/>
      <c r="U89" s="249"/>
      <c r="V89" s="249"/>
      <c r="W89" s="250"/>
      <c r="X89" s="244" t="s">
        <v>350</v>
      </c>
      <c r="Y89" s="245"/>
      <c r="Z89" s="251"/>
      <c r="AA89" s="251"/>
    </row>
    <row r="90" spans="1:27" ht="21" thickTop="1">
      <c r="A90" s="252" t="s">
        <v>351</v>
      </c>
      <c r="B90" s="253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5"/>
    </row>
    <row r="91" spans="1:27">
      <c r="A91" s="252"/>
      <c r="B91" s="253" t="s">
        <v>352</v>
      </c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5">
        <f>SUM(C91:V91)</f>
        <v>0</v>
      </c>
    </row>
    <row r="92" spans="1:27">
      <c r="A92" s="252"/>
      <c r="B92" s="253" t="s">
        <v>353</v>
      </c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5">
        <f>SUM(C92:V92)</f>
        <v>0</v>
      </c>
    </row>
    <row r="93" spans="1:27">
      <c r="A93" s="252"/>
      <c r="B93" s="253" t="s">
        <v>354</v>
      </c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5">
        <f>SUM(C93:V93)</f>
        <v>0</v>
      </c>
    </row>
    <row r="94" spans="1:27" s="246" customFormat="1" ht="19.2">
      <c r="A94" s="240"/>
      <c r="B94" s="241" t="s">
        <v>237</v>
      </c>
      <c r="C94" s="242"/>
      <c r="D94" s="242">
        <f>SUM(D91:D93)</f>
        <v>0</v>
      </c>
      <c r="E94" s="242"/>
      <c r="F94" s="242">
        <f>SUM(F92:F93)</f>
        <v>0</v>
      </c>
      <c r="G94" s="242"/>
      <c r="H94" s="242">
        <f>SUM(H91:H93)</f>
        <v>0</v>
      </c>
      <c r="I94" s="242">
        <f>SUM(I90:I93)</f>
        <v>0</v>
      </c>
      <c r="J94" s="242">
        <f>SUM(J90:J93)</f>
        <v>0</v>
      </c>
      <c r="K94" s="242"/>
      <c r="L94" s="242"/>
      <c r="M94" s="242"/>
      <c r="N94" s="242">
        <f>SUM(N92:N93)</f>
        <v>0</v>
      </c>
      <c r="O94" s="242">
        <f>SUM(O92:O93)</f>
        <v>0</v>
      </c>
      <c r="P94" s="242"/>
      <c r="Q94" s="242">
        <f>SUM(Q92:Q93)</f>
        <v>0</v>
      </c>
      <c r="R94" s="242">
        <f>SUM(R92:R93)</f>
        <v>0</v>
      </c>
      <c r="S94" s="242">
        <f>SUM(S92:S93)</f>
        <v>0</v>
      </c>
      <c r="T94" s="242"/>
      <c r="U94" s="242"/>
      <c r="V94" s="242"/>
      <c r="W94" s="243">
        <f>SUM(C94:V94)</f>
        <v>0</v>
      </c>
      <c r="X94" s="244"/>
      <c r="Y94" s="245"/>
    </row>
    <row r="95" spans="1:27" s="246" customFormat="1" ht="19.8" thickBot="1">
      <c r="A95" s="247"/>
      <c r="B95" s="248" t="s">
        <v>300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50">
        <f>SUM(C95:V95)</f>
        <v>0</v>
      </c>
      <c r="X95" s="244" t="s">
        <v>11</v>
      </c>
      <c r="Y95" s="245"/>
      <c r="Z95" s="251"/>
      <c r="AA95" s="251"/>
    </row>
    <row r="96" spans="1:27" ht="21" thickTop="1">
      <c r="A96" s="252" t="s">
        <v>193</v>
      </c>
      <c r="B96" s="253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5"/>
      <c r="Y96" s="256"/>
    </row>
    <row r="97" spans="1:27">
      <c r="A97" s="252"/>
      <c r="B97" s="253" t="s">
        <v>140</v>
      </c>
      <c r="C97" s="254"/>
      <c r="D97" s="254"/>
      <c r="E97" s="254"/>
      <c r="F97" s="254"/>
      <c r="G97" s="254">
        <v>0</v>
      </c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5">
        <f>SUM(C97:V97)</f>
        <v>0</v>
      </c>
      <c r="Y97" s="256"/>
    </row>
    <row r="98" spans="1:27">
      <c r="A98" s="252"/>
      <c r="B98" s="253" t="s">
        <v>355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5">
        <f>SUM(C98:V98)</f>
        <v>0</v>
      </c>
      <c r="Y98" s="256"/>
    </row>
    <row r="99" spans="1:27" s="246" customFormat="1" ht="19.2">
      <c r="A99" s="240"/>
      <c r="B99" s="241" t="s">
        <v>237</v>
      </c>
      <c r="C99" s="242"/>
      <c r="D99" s="242">
        <f>SUM(D97:D98)</f>
        <v>0</v>
      </c>
      <c r="E99" s="242">
        <f>SUM(E97:E98)</f>
        <v>0</v>
      </c>
      <c r="F99" s="242">
        <f>SUM(F97:F98)</f>
        <v>0</v>
      </c>
      <c r="G99" s="242">
        <f>SUM(G97:G98)</f>
        <v>0</v>
      </c>
      <c r="H99" s="242">
        <f>H98</f>
        <v>0</v>
      </c>
      <c r="I99" s="242">
        <f>SUM(I97:I98)</f>
        <v>0</v>
      </c>
      <c r="J99" s="242"/>
      <c r="K99" s="242"/>
      <c r="L99" s="242"/>
      <c r="M99" s="242">
        <f>SUM(M98)</f>
        <v>0</v>
      </c>
      <c r="N99" s="242"/>
      <c r="O99" s="242"/>
      <c r="P99" s="242"/>
      <c r="Q99" s="242"/>
      <c r="R99" s="242"/>
      <c r="S99" s="242"/>
      <c r="T99" s="242"/>
      <c r="U99" s="242"/>
      <c r="V99" s="242"/>
      <c r="W99" s="243">
        <f>SUM(C99:V99)</f>
        <v>0</v>
      </c>
      <c r="X99" s="244"/>
      <c r="Y99" s="245"/>
    </row>
    <row r="100" spans="1:27" s="246" customFormat="1" ht="19.8" thickBot="1">
      <c r="A100" s="247"/>
      <c r="B100" s="248" t="s">
        <v>300</v>
      </c>
      <c r="C100" s="249"/>
      <c r="D100" s="249">
        <v>0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50">
        <f>SUM(C100:V100)</f>
        <v>0</v>
      </c>
      <c r="X100" s="244" t="s">
        <v>66</v>
      </c>
      <c r="Y100" s="245"/>
      <c r="Z100" s="251"/>
      <c r="AA100" s="251"/>
    </row>
    <row r="101" spans="1:27" s="311" customFormat="1" ht="21.6" thickTop="1" thickBot="1">
      <c r="A101" s="550" t="s">
        <v>356</v>
      </c>
      <c r="B101" s="551"/>
      <c r="C101" s="308">
        <f t="shared" ref="C101:V101" si="10">C16+C24+C36+C45+C52+C68+C75+C84+C89+C95+C100</f>
        <v>0</v>
      </c>
      <c r="D101" s="308">
        <f t="shared" si="10"/>
        <v>0</v>
      </c>
      <c r="E101" s="308">
        <f t="shared" si="10"/>
        <v>0</v>
      </c>
      <c r="F101" s="308">
        <f t="shared" si="10"/>
        <v>0</v>
      </c>
      <c r="G101" s="308">
        <f t="shared" si="10"/>
        <v>0</v>
      </c>
      <c r="H101" s="308">
        <f t="shared" si="10"/>
        <v>0</v>
      </c>
      <c r="I101" s="308">
        <f t="shared" si="10"/>
        <v>0</v>
      </c>
      <c r="J101" s="308">
        <f t="shared" si="10"/>
        <v>0</v>
      </c>
      <c r="K101" s="308">
        <f t="shared" si="10"/>
        <v>0</v>
      </c>
      <c r="L101" s="308">
        <f t="shared" si="10"/>
        <v>0</v>
      </c>
      <c r="M101" s="308">
        <f t="shared" si="10"/>
        <v>0</v>
      </c>
      <c r="N101" s="308">
        <f t="shared" si="10"/>
        <v>0</v>
      </c>
      <c r="O101" s="308">
        <f t="shared" si="10"/>
        <v>0</v>
      </c>
      <c r="P101" s="308">
        <f t="shared" si="10"/>
        <v>0</v>
      </c>
      <c r="Q101" s="308">
        <f t="shared" si="10"/>
        <v>0</v>
      </c>
      <c r="R101" s="308">
        <f t="shared" si="10"/>
        <v>0</v>
      </c>
      <c r="S101" s="308">
        <f t="shared" si="10"/>
        <v>0</v>
      </c>
      <c r="T101" s="308">
        <f t="shared" si="10"/>
        <v>0</v>
      </c>
      <c r="U101" s="308">
        <f t="shared" si="10"/>
        <v>0</v>
      </c>
      <c r="V101" s="308">
        <f t="shared" si="10"/>
        <v>0</v>
      </c>
      <c r="W101" s="308">
        <f>W16+W24+W36+W45+W52+W68+W75+W84+W89+W95+W100</f>
        <v>0</v>
      </c>
      <c r="X101" s="309"/>
      <c r="Y101" s="310"/>
    </row>
    <row r="102" spans="1:27" ht="21" thickTop="1"/>
    <row r="103" spans="1:27">
      <c r="H103" s="312" t="s">
        <v>357</v>
      </c>
      <c r="L103" s="312" t="s">
        <v>357</v>
      </c>
      <c r="P103" s="312" t="s">
        <v>357</v>
      </c>
    </row>
    <row r="104" spans="1:27" ht="21" thickBot="1">
      <c r="B104" s="224" t="s">
        <v>358</v>
      </c>
      <c r="C104" s="313" t="e">
        <f>+C16+C24+C36+#REF!+C45+C52+C68+C75+#REF!+C84+C89+C100</f>
        <v>#REF!</v>
      </c>
      <c r="D104" s="313" t="e">
        <f>+D16+D24+D36+#REF!+D45+D52+D68+D75+#REF!+D84+D89+D100</f>
        <v>#REF!</v>
      </c>
      <c r="E104" s="313" t="e">
        <f>+E16+E24+E36+#REF!+E45+E52+E68+E75+#REF!+E84+E89+E100</f>
        <v>#REF!</v>
      </c>
      <c r="F104" s="313"/>
      <c r="G104" s="313"/>
      <c r="H104" s="312" t="s">
        <v>359</v>
      </c>
      <c r="I104" s="313"/>
      <c r="J104" s="313"/>
      <c r="K104" s="313"/>
      <c r="L104" s="312" t="s">
        <v>360</v>
      </c>
      <c r="M104" s="313"/>
      <c r="N104" s="313"/>
      <c r="O104" s="312" t="s">
        <v>361</v>
      </c>
      <c r="P104" s="313"/>
      <c r="Q104" s="313"/>
      <c r="R104" s="313"/>
      <c r="S104" s="313" t="e">
        <f>+S16+S24+S36+#REF!+S45+S52+S68+S75+#REF!+S84+S89+S100</f>
        <v>#REF!</v>
      </c>
      <c r="T104" s="313" t="e">
        <f>+T16+T24+T36+#REF!+T45+T52+T68+T75+#REF!+T84+T89+T100</f>
        <v>#REF!</v>
      </c>
      <c r="U104" s="313"/>
      <c r="V104" s="313" t="e">
        <f>+V16+V24+V36+#REF!+V45+V52+V68+V75+#REF!+V84+V89+V100</f>
        <v>#REF!</v>
      </c>
      <c r="W104" s="314" t="e">
        <f>+W16+W24+W36+#REF!+W45+W52+W68+W75+#REF!+W84+W89+W100</f>
        <v>#REF!</v>
      </c>
    </row>
    <row r="105" spans="1:27" ht="21" thickTop="1">
      <c r="H105" s="312" t="s">
        <v>362</v>
      </c>
      <c r="L105" s="312" t="s">
        <v>363</v>
      </c>
      <c r="O105" s="312" t="s">
        <v>364</v>
      </c>
      <c r="T105" s="312" t="s">
        <v>365</v>
      </c>
      <c r="W105" s="315">
        <f>+[1]รายงานรับจ่ายเงินสด!B70</f>
        <v>12603701.57</v>
      </c>
    </row>
    <row r="106" spans="1:27">
      <c r="O106" s="225" t="s">
        <v>366</v>
      </c>
      <c r="T106" s="316" t="s">
        <v>367</v>
      </c>
      <c r="W106" s="317" t="e">
        <f>+[1]รายงานรับจ่ายเงินสด!#REF!</f>
        <v>#REF!</v>
      </c>
    </row>
    <row r="107" spans="1:27">
      <c r="T107" s="318" t="s">
        <v>290</v>
      </c>
      <c r="W107" s="315" t="e">
        <f>+W105-W106</f>
        <v>#REF!</v>
      </c>
    </row>
    <row r="108" spans="1:27">
      <c r="T108" s="319" t="s">
        <v>173</v>
      </c>
      <c r="W108" s="315" t="e">
        <f>+W107-W104</f>
        <v>#REF!</v>
      </c>
    </row>
    <row r="109" spans="1:27">
      <c r="T109" s="320"/>
      <c r="U109" s="321"/>
      <c r="V109" s="321"/>
      <c r="W109" s="322"/>
      <c r="X109" s="323"/>
    </row>
    <row r="110" spans="1:27">
      <c r="T110" s="320"/>
      <c r="U110" s="321"/>
      <c r="V110" s="321"/>
      <c r="W110" s="315"/>
      <c r="X110" s="323"/>
    </row>
    <row r="111" spans="1:27">
      <c r="T111" s="321"/>
      <c r="U111" s="321"/>
      <c r="V111" s="321"/>
      <c r="W111" s="324"/>
      <c r="X111" s="323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2014-08-13T03:47:23Z</cp:lastPrinted>
  <dcterms:created xsi:type="dcterms:W3CDTF">2007-07-06T07:24:03Z</dcterms:created>
  <dcterms:modified xsi:type="dcterms:W3CDTF">2014-08-13T03:48:26Z</dcterms:modified>
</cp:coreProperties>
</file>