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X92" i="53"/>
  <c r="X94"/>
  <c r="B95"/>
  <c r="B63"/>
  <c r="B61"/>
  <c r="I30" i="40"/>
  <c r="D45" i="54"/>
  <c r="D44"/>
  <c r="D41"/>
  <c r="D42"/>
  <c r="D27"/>
  <c r="D14"/>
  <c r="D10"/>
  <c r="G9" i="52"/>
  <c r="G42" s="1"/>
  <c r="I42"/>
  <c r="I37"/>
  <c r="I33"/>
  <c r="I31"/>
  <c r="G15"/>
  <c r="G13"/>
  <c r="G12"/>
  <c r="C67" i="35"/>
  <c r="C66"/>
  <c r="C64"/>
  <c r="C62"/>
  <c r="C56"/>
  <c r="C55"/>
  <c r="C54"/>
  <c r="C53"/>
  <c r="C52"/>
  <c r="C51"/>
  <c r="C50"/>
  <c r="C49"/>
  <c r="C48"/>
  <c r="H55"/>
  <c r="C28"/>
  <c r="C27"/>
  <c r="C24"/>
  <c r="C23"/>
  <c r="C17"/>
  <c r="C16"/>
  <c r="C15"/>
  <c r="C14"/>
  <c r="C13"/>
  <c r="C12"/>
  <c r="I32" i="52"/>
  <c r="G16"/>
  <c r="C65" i="35"/>
  <c r="C25"/>
  <c r="E43" i="36"/>
  <c r="E42"/>
  <c r="E41"/>
  <c r="E40"/>
  <c r="E39"/>
  <c r="E47"/>
  <c r="E38"/>
  <c r="E37"/>
  <c r="D43"/>
  <c r="D42"/>
  <c r="D41"/>
  <c r="D40"/>
  <c r="D39"/>
  <c r="L11" i="52" l="1"/>
  <c r="A89" i="53"/>
  <c r="F67" i="54" l="1"/>
  <c r="F49" i="36" l="1"/>
  <c r="E44"/>
  <c r="D47"/>
  <c r="D44"/>
  <c r="Z59" i="53"/>
  <c r="F50" i="54"/>
  <c r="D40"/>
  <c r="F66"/>
  <c r="E50" i="36" l="1"/>
  <c r="F48"/>
  <c r="I14" i="40"/>
  <c r="F63" i="54" l="1"/>
  <c r="F47" i="36"/>
  <c r="D38"/>
  <c r="F65" i="54"/>
  <c r="F46" i="36"/>
  <c r="D37"/>
  <c r="Z60" i="53"/>
  <c r="Z61"/>
  <c r="Z62"/>
  <c r="Z63"/>
  <c r="Z64"/>
  <c r="D54" i="54" l="1"/>
  <c r="D50" i="36"/>
  <c r="F45"/>
  <c r="F64" i="54" l="1"/>
  <c r="Z28" i="53"/>
  <c r="Z19"/>
  <c r="Z49"/>
  <c r="Z50"/>
  <c r="F44" i="36" l="1"/>
  <c r="F43"/>
  <c r="F42" l="1"/>
  <c r="F41"/>
  <c r="F40"/>
  <c r="F39"/>
  <c r="F38"/>
  <c r="F37"/>
  <c r="F50" l="1"/>
  <c r="E30" i="40"/>
  <c r="F62" i="54" l="1"/>
  <c r="Z12" i="53" l="1"/>
  <c r="D12" i="54"/>
  <c r="F49"/>
  <c r="C40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30"/>
  <c r="F61" i="54"/>
  <c r="F60"/>
  <c r="F59"/>
  <c r="F58"/>
  <c r="F57"/>
  <c r="F56"/>
  <c r="F55"/>
  <c r="F52"/>
  <c r="D51"/>
  <c r="C51"/>
  <c r="F48"/>
  <c r="F47"/>
  <c r="F46"/>
  <c r="F45"/>
  <c r="F44"/>
  <c r="F43"/>
  <c r="F42"/>
  <c r="F41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76" i="53"/>
  <c r="Y183"/>
  <c r="Y184" s="1"/>
  <c r="X183"/>
  <c r="X184" s="1"/>
  <c r="W183"/>
  <c r="W184" s="1"/>
  <c r="V183"/>
  <c r="V184" s="1"/>
  <c r="U183"/>
  <c r="U184" s="1"/>
  <c r="T183"/>
  <c r="T184" s="1"/>
  <c r="S183"/>
  <c r="S184" s="1"/>
  <c r="R183"/>
  <c r="R184" s="1"/>
  <c r="Q183"/>
  <c r="Q184" s="1"/>
  <c r="P183"/>
  <c r="P184" s="1"/>
  <c r="O183"/>
  <c r="O184" s="1"/>
  <c r="N183"/>
  <c r="N184" s="1"/>
  <c r="M183"/>
  <c r="M184" s="1"/>
  <c r="L183"/>
  <c r="L184" s="1"/>
  <c r="K183"/>
  <c r="K184" s="1"/>
  <c r="J183"/>
  <c r="J184" s="1"/>
  <c r="I183"/>
  <c r="I184" s="1"/>
  <c r="H183"/>
  <c r="H184" s="1"/>
  <c r="G183"/>
  <c r="G184" s="1"/>
  <c r="F183"/>
  <c r="F184" s="1"/>
  <c r="E183"/>
  <c r="E184" s="1"/>
  <c r="D183"/>
  <c r="D184" s="1"/>
  <c r="C183"/>
  <c r="C184" s="1"/>
  <c r="B183"/>
  <c r="B184" s="1"/>
  <c r="Z182"/>
  <c r="Z181"/>
  <c r="Z180"/>
  <c r="Z179"/>
  <c r="Z178"/>
  <c r="Y176"/>
  <c r="X176"/>
  <c r="X177" s="1"/>
  <c r="W176"/>
  <c r="V176"/>
  <c r="V177" s="1"/>
  <c r="U176"/>
  <c r="T176"/>
  <c r="T177" s="1"/>
  <c r="S176"/>
  <c r="R176"/>
  <c r="R177" s="1"/>
  <c r="Q176"/>
  <c r="P176"/>
  <c r="P177" s="1"/>
  <c r="O176"/>
  <c r="N176"/>
  <c r="N177" s="1"/>
  <c r="N186" s="1"/>
  <c r="L176"/>
  <c r="L177" s="1"/>
  <c r="K176"/>
  <c r="J176"/>
  <c r="J177" s="1"/>
  <c r="I176"/>
  <c r="H176"/>
  <c r="H177" s="1"/>
  <c r="G176"/>
  <c r="F176"/>
  <c r="F177" s="1"/>
  <c r="E176"/>
  <c r="D176"/>
  <c r="D177" s="1"/>
  <c r="C176"/>
  <c r="B176"/>
  <c r="B177" s="1"/>
  <c r="B186" s="1"/>
  <c r="Z175"/>
  <c r="Z173"/>
  <c r="Z172"/>
  <c r="Z171"/>
  <c r="Z170"/>
  <c r="Z35"/>
  <c r="Y142"/>
  <c r="Y143" s="1"/>
  <c r="X142"/>
  <c r="X143" s="1"/>
  <c r="W142"/>
  <c r="W143" s="1"/>
  <c r="V142"/>
  <c r="V143" s="1"/>
  <c r="U142"/>
  <c r="U143" s="1"/>
  <c r="T142"/>
  <c r="T143" s="1"/>
  <c r="S142"/>
  <c r="S143" s="1"/>
  <c r="R142"/>
  <c r="R143" s="1"/>
  <c r="Q142"/>
  <c r="Q143" s="1"/>
  <c r="P142"/>
  <c r="P143" s="1"/>
  <c r="O142"/>
  <c r="O143" s="1"/>
  <c r="N142"/>
  <c r="N143" s="1"/>
  <c r="M142"/>
  <c r="M143" s="1"/>
  <c r="L142"/>
  <c r="L143" s="1"/>
  <c r="K142"/>
  <c r="K143" s="1"/>
  <c r="J142"/>
  <c r="J143" s="1"/>
  <c r="I142"/>
  <c r="I143" s="1"/>
  <c r="H142"/>
  <c r="H143" s="1"/>
  <c r="G142"/>
  <c r="G143" s="1"/>
  <c r="F142"/>
  <c r="F143" s="1"/>
  <c r="E142"/>
  <c r="E143" s="1"/>
  <c r="D142"/>
  <c r="D143" s="1"/>
  <c r="C142"/>
  <c r="C143" s="1"/>
  <c r="B142"/>
  <c r="B143" s="1"/>
  <c r="Z141"/>
  <c r="Z140"/>
  <c r="Z139"/>
  <c r="Z138"/>
  <c r="Z137"/>
  <c r="Y135"/>
  <c r="Y136" s="1"/>
  <c r="X135"/>
  <c r="X136" s="1"/>
  <c r="W135"/>
  <c r="W136" s="1"/>
  <c r="V135"/>
  <c r="V136" s="1"/>
  <c r="U135"/>
  <c r="U136" s="1"/>
  <c r="T135"/>
  <c r="T136" s="1"/>
  <c r="S135"/>
  <c r="S136" s="1"/>
  <c r="R135"/>
  <c r="R136" s="1"/>
  <c r="Q135"/>
  <c r="Q136" s="1"/>
  <c r="P135"/>
  <c r="P136" s="1"/>
  <c r="O135"/>
  <c r="O136" s="1"/>
  <c r="N135"/>
  <c r="N136" s="1"/>
  <c r="M135"/>
  <c r="M136" s="1"/>
  <c r="L135"/>
  <c r="L136" s="1"/>
  <c r="K135"/>
  <c r="K136" s="1"/>
  <c r="J135"/>
  <c r="J136" s="1"/>
  <c r="I135"/>
  <c r="I136" s="1"/>
  <c r="H135"/>
  <c r="H136" s="1"/>
  <c r="G135"/>
  <c r="G136" s="1"/>
  <c r="F135"/>
  <c r="F136" s="1"/>
  <c r="E135"/>
  <c r="E136" s="1"/>
  <c r="D135"/>
  <c r="D136" s="1"/>
  <c r="C135"/>
  <c r="C136" s="1"/>
  <c r="B135"/>
  <c r="B136" s="1"/>
  <c r="Z134"/>
  <c r="Z132"/>
  <c r="Z131"/>
  <c r="Z130"/>
  <c r="Z129"/>
  <c r="A126"/>
  <c r="Y116"/>
  <c r="Y117" s="1"/>
  <c r="X116"/>
  <c r="X117" s="1"/>
  <c r="W116"/>
  <c r="W117" s="1"/>
  <c r="V116"/>
  <c r="V117" s="1"/>
  <c r="U116"/>
  <c r="U117" s="1"/>
  <c r="T116"/>
  <c r="T117" s="1"/>
  <c r="S116"/>
  <c r="S117" s="1"/>
  <c r="R116"/>
  <c r="R117" s="1"/>
  <c r="Q116"/>
  <c r="Q117" s="1"/>
  <c r="P116"/>
  <c r="P117" s="1"/>
  <c r="O116"/>
  <c r="O117" s="1"/>
  <c r="N116"/>
  <c r="N117" s="1"/>
  <c r="L116"/>
  <c r="L117" s="1"/>
  <c r="K116"/>
  <c r="K117" s="1"/>
  <c r="J116"/>
  <c r="J117" s="1"/>
  <c r="I116"/>
  <c r="I117" s="1"/>
  <c r="H116"/>
  <c r="H117" s="1"/>
  <c r="G116"/>
  <c r="G117" s="1"/>
  <c r="F116"/>
  <c r="F117" s="1"/>
  <c r="E116"/>
  <c r="E117" s="1"/>
  <c r="D116"/>
  <c r="D117" s="1"/>
  <c r="C116"/>
  <c r="C117" s="1"/>
  <c r="B116"/>
  <c r="Z115"/>
  <c r="Z114"/>
  <c r="M116"/>
  <c r="M117" s="1"/>
  <c r="Z113"/>
  <c r="Z112"/>
  <c r="Z111"/>
  <c r="Y109"/>
  <c r="Y110" s="1"/>
  <c r="X109"/>
  <c r="X110" s="1"/>
  <c r="W109"/>
  <c r="W110" s="1"/>
  <c r="V109"/>
  <c r="V110" s="1"/>
  <c r="U109"/>
  <c r="U110" s="1"/>
  <c r="T109"/>
  <c r="T110" s="1"/>
  <c r="S109"/>
  <c r="S110" s="1"/>
  <c r="R109"/>
  <c r="R110" s="1"/>
  <c r="Q109"/>
  <c r="Q110" s="1"/>
  <c r="P109"/>
  <c r="P110" s="1"/>
  <c r="O109"/>
  <c r="O110" s="1"/>
  <c r="N109"/>
  <c r="N110" s="1"/>
  <c r="M109"/>
  <c r="M110" s="1"/>
  <c r="L109"/>
  <c r="L110" s="1"/>
  <c r="K109"/>
  <c r="K110" s="1"/>
  <c r="J109"/>
  <c r="J110" s="1"/>
  <c r="I109"/>
  <c r="I110" s="1"/>
  <c r="H109"/>
  <c r="H110" s="1"/>
  <c r="G109"/>
  <c r="G110" s="1"/>
  <c r="F109"/>
  <c r="F110" s="1"/>
  <c r="E109"/>
  <c r="E110" s="1"/>
  <c r="D109"/>
  <c r="D110" s="1"/>
  <c r="C109"/>
  <c r="B109"/>
  <c r="B110" s="1"/>
  <c r="Z108"/>
  <c r="Z107"/>
  <c r="Z106"/>
  <c r="Z105"/>
  <c r="Z104"/>
  <c r="Z103"/>
  <c r="Z102"/>
  <c r="Z101"/>
  <c r="Y100"/>
  <c r="W100"/>
  <c r="X99"/>
  <c r="X100" s="1"/>
  <c r="V99"/>
  <c r="V100" s="1"/>
  <c r="U99"/>
  <c r="U100" s="1"/>
  <c r="T99"/>
  <c r="T100" s="1"/>
  <c r="S99"/>
  <c r="S100" s="1"/>
  <c r="R99"/>
  <c r="R100" s="1"/>
  <c r="Q99"/>
  <c r="Q100" s="1"/>
  <c r="P99"/>
  <c r="P100" s="1"/>
  <c r="O99"/>
  <c r="O100" s="1"/>
  <c r="N99"/>
  <c r="N100" s="1"/>
  <c r="M99"/>
  <c r="M100" s="1"/>
  <c r="L99"/>
  <c r="L100" s="1"/>
  <c r="K99"/>
  <c r="K100" s="1"/>
  <c r="J99"/>
  <c r="J100" s="1"/>
  <c r="I99"/>
  <c r="I100" s="1"/>
  <c r="H99"/>
  <c r="H100" s="1"/>
  <c r="G99"/>
  <c r="G100" s="1"/>
  <c r="F99"/>
  <c r="F100" s="1"/>
  <c r="E99"/>
  <c r="E100" s="1"/>
  <c r="D99"/>
  <c r="D100" s="1"/>
  <c r="C99"/>
  <c r="C100" s="1"/>
  <c r="B99"/>
  <c r="Z98"/>
  <c r="Z96"/>
  <c r="Z95"/>
  <c r="Z94"/>
  <c r="Z93"/>
  <c r="Z92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67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J186" l="1"/>
  <c r="J185"/>
  <c r="F186"/>
  <c r="F185"/>
  <c r="T185"/>
  <c r="F33" i="54"/>
  <c r="D185" i="53"/>
  <c r="D186"/>
  <c r="H186"/>
  <c r="H185"/>
  <c r="L186"/>
  <c r="L185"/>
  <c r="F40" i="54"/>
  <c r="C110" i="53"/>
  <c r="N185"/>
  <c r="R186"/>
  <c r="R185"/>
  <c r="V186"/>
  <c r="V185"/>
  <c r="P186"/>
  <c r="X186"/>
  <c r="B185"/>
  <c r="X185"/>
  <c r="P185"/>
  <c r="T144"/>
  <c r="X144"/>
  <c r="Z176"/>
  <c r="Z177" s="1"/>
  <c r="Z183"/>
  <c r="Z184" s="1"/>
  <c r="F51" i="54"/>
  <c r="F29"/>
  <c r="F26"/>
  <c r="F23"/>
  <c r="F12"/>
  <c r="C7"/>
  <c r="C68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86" i="53"/>
  <c r="C177"/>
  <c r="C186" s="1"/>
  <c r="G177"/>
  <c r="K177"/>
  <c r="O177"/>
  <c r="S177"/>
  <c r="W177"/>
  <c r="E177"/>
  <c r="E186" s="1"/>
  <c r="I177"/>
  <c r="M177"/>
  <c r="M186" s="1"/>
  <c r="Q177"/>
  <c r="U177"/>
  <c r="Y177"/>
  <c r="X18"/>
  <c r="X145" s="1"/>
  <c r="B37"/>
  <c r="B38" s="1"/>
  <c r="Z116"/>
  <c r="Z117" s="1"/>
  <c r="E145"/>
  <c r="I144"/>
  <c r="U144"/>
  <c r="Z142"/>
  <c r="Z143" s="1"/>
  <c r="H145"/>
  <c r="P144"/>
  <c r="Z135"/>
  <c r="Z136" s="1"/>
  <c r="W145"/>
  <c r="P18"/>
  <c r="U18"/>
  <c r="U145" s="1"/>
  <c r="H144"/>
  <c r="L144"/>
  <c r="L18"/>
  <c r="L145" s="1"/>
  <c r="F144"/>
  <c r="J144"/>
  <c r="N144"/>
  <c r="R144"/>
  <c r="V144"/>
  <c r="I18"/>
  <c r="I145" s="1"/>
  <c r="N18"/>
  <c r="N145" s="1"/>
  <c r="T18"/>
  <c r="T145" s="1"/>
  <c r="B117"/>
  <c r="M144"/>
  <c r="J145"/>
  <c r="Z109"/>
  <c r="Z110" s="1"/>
  <c r="Z99"/>
  <c r="Z100" s="1"/>
  <c r="V145"/>
  <c r="S145"/>
  <c r="Z81"/>
  <c r="K145"/>
  <c r="B82"/>
  <c r="E144"/>
  <c r="G145"/>
  <c r="D144"/>
  <c r="O145"/>
  <c r="P145"/>
  <c r="D145"/>
  <c r="F145"/>
  <c r="Z17"/>
  <c r="Z18" s="1"/>
  <c r="Z26"/>
  <c r="Z27" s="1"/>
  <c r="Y18"/>
  <c r="Y145" s="1"/>
  <c r="Y144"/>
  <c r="M145"/>
  <c r="R145"/>
  <c r="B66"/>
  <c r="Z57"/>
  <c r="Z58" s="1"/>
  <c r="Q65"/>
  <c r="Q66" s="1"/>
  <c r="Q145" s="1"/>
  <c r="C82"/>
  <c r="C144"/>
  <c r="G144"/>
  <c r="K144"/>
  <c r="O144"/>
  <c r="S144"/>
  <c r="W144"/>
  <c r="B100"/>
  <c r="Z65"/>
  <c r="L42" i="52"/>
  <c r="G186" i="53" l="1"/>
  <c r="G185"/>
  <c r="K186"/>
  <c r="K185"/>
  <c r="I186"/>
  <c r="I185"/>
  <c r="C145"/>
  <c r="Z37"/>
  <c r="Z144" s="1"/>
  <c r="B144"/>
  <c r="Z185"/>
  <c r="Z186" s="1"/>
  <c r="M185"/>
  <c r="S186"/>
  <c r="S185"/>
  <c r="C185"/>
  <c r="Q186"/>
  <c r="Q185"/>
  <c r="W186"/>
  <c r="W185"/>
  <c r="U186"/>
  <c r="U185"/>
  <c r="E185"/>
  <c r="Y186"/>
  <c r="Y185"/>
  <c r="O186"/>
  <c r="O185"/>
  <c r="F7" i="54"/>
  <c r="W101" i="56"/>
  <c r="W104"/>
  <c r="W108" s="1"/>
  <c r="D68" i="54"/>
  <c r="F68" s="1"/>
  <c r="B145" i="53"/>
  <c r="Z82"/>
  <c r="Z66"/>
  <c r="Q144"/>
  <c r="L20" i="40"/>
  <c r="L160"/>
  <c r="L122"/>
  <c r="I120"/>
  <c r="L85"/>
  <c r="G25"/>
  <c r="I7"/>
  <c r="L5" s="1"/>
  <c r="C73" i="35"/>
  <c r="F9" i="36"/>
  <c r="E12"/>
  <c r="H62" i="35" s="1"/>
  <c r="H73" s="1"/>
  <c r="D12" i="36"/>
  <c r="H23" i="35" s="1"/>
  <c r="C12" i="36"/>
  <c r="F8"/>
  <c r="F7"/>
  <c r="F6"/>
  <c r="F5"/>
  <c r="F4"/>
  <c r="L77" i="35"/>
  <c r="A60"/>
  <c r="H60"/>
  <c r="C60"/>
  <c r="J41"/>
  <c r="J40"/>
  <c r="J39"/>
  <c r="L38"/>
  <c r="J38"/>
  <c r="J37"/>
  <c r="J36"/>
  <c r="J26"/>
  <c r="C42"/>
  <c r="A19"/>
  <c r="C19"/>
  <c r="Z38" i="53" l="1"/>
  <c r="Z145" s="1"/>
  <c r="L9" i="40"/>
  <c r="H42" i="35"/>
  <c r="C74"/>
  <c r="C43"/>
  <c r="H74"/>
  <c r="F12" i="36"/>
  <c r="H19" i="35"/>
  <c r="H43" l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6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7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3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4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5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6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7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8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5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39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0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<sst xmlns="http://schemas.openxmlformats.org/spreadsheetml/2006/main" count="1039" uniqueCount="429">
  <si>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</si>
  <si>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</si>
  <si>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</si>
  <si>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</si>
  <si>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</si>
  <si>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</si>
  <si>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</si>
  <si>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</si>
  <si>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</si>
  <si>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</si>
  <si>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</si>
  <si>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</si>
  <si>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</si>
  <si>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</si>
  <si>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</si>
  <si>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</si>
  <si>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</si>
  <si>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</si>
  <si>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</si>
  <si>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</si>
  <si>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</si>
  <si>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</si>
  <si>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</si>
  <si>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</si>
  <si>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</si>
  <si>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</si>
  <si>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</si>
  <si>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</si>
  <si>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</si>
  <si>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</si>
  <si>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</si>
  <si>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</si>
  <si>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</si>
  <si>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</si>
  <si>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</si>
  <si>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</si>
  <si>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</si>
  <si>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</si>
  <si>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</si>
  <si>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</si>
  <si>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</si>
  <si>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</si>
  <si>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</si>
  <si>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</si>
  <si>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</si>
  <si>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</si>
  <si>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</si>
  <si>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</si>
  <si>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</si>
  <si>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</si>
  <si>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</si>
  <si>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</si>
  <si>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</si>
  <si>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</si>
  <si>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</si>
  <si>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</si>
  <si>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</si>
  <si>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</si>
  <si>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</si>
  <si>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</si>
  <si>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</si>
  <si>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</si>
  <si>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</si>
  <si>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</si>
  <si>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</si>
  <si>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</si>
  <si>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</si>
  <si>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</si>
  <si>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</si>
  <si>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</si>
  <si>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</si>
  <si>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</si>
  <si>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</si>
  <si>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</si>
  <si>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</si>
  <si>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</si>
  <si>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</si>
  <si>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</si>
  <si>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</si>
  <si>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</si>
  <si>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</si>
  <si>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</si>
  <si>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</si>
  <si>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</si>
  <si>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</si>
  <si>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</si>
  <si>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</si>
  <si>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</si>
  <si>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</si>
  <si>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</si>
  <si>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</si>
  <si>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</si>
  <si>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</si>
  <si>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</si>
  <si>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</si>
  <si>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</si>
  <si>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</si>
  <si>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</si>
  <si>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</si>
  <si>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</si>
  <si>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</si>
  <si>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</si>
  <si>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</si>
  <si>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</si>
  <si>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</si>
  <si>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</si>
  <si>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</si>
  <si>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</si>
  <si>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</si>
  <si>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</si>
  <si>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</si>
  <si>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</si>
  <si>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</si>
  <si>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</si>
  <si>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</si>
  <si>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</si>
  <si>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</si>
  <si>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</si>
  <si>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</si>
  <si>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</si>
  <si>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</si>
  <si>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</si>
  <si>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</si>
  <si>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</si>
  <si>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</si>
  <si>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</si>
  <si>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</si>
  <si>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</si>
  <si>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</si>
  <si>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</si>
  <si>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</si>
  <si>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</si>
  <si>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</si>
  <si>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</si>
  <si>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</si>
  <si>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</si>
  <si>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</si>
  <si>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</si>
  <si>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</si>
  <si>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</si>
  <si>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</si>
  <si>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</si>
  <si>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</si>
  <si>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</si>
  <si>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</si>
  <si>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</si>
  <si>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</si>
  <si>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</si>
  <si>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</si>
  <si>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</si>
  <si>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</si>
  <si>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</si>
  <si>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</si>
  <si>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</si>
  <si>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</si>
  <si>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</si>
  <si>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</si>
  <si>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</si>
  <si>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</si>
  <si>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</si>
  <si>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</si>
  <si>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</si>
  <si>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</si>
  <si>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</si>
  <si>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</si>
  <si>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</si>
  <si>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</si>
  <si>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</si>
  <si>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</si>
  <si>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</si>
  <si>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</si>
  <si>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</si>
  <si>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</si>
  <si>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</si>
  <si>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</si>
  <si>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</si>
  <si>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</si>
  <si>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</si>
  <si>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</si>
  <si>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</si>
  <si>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</si>
  <si>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</si>
  <si>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</si>
  <si>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</si>
  <si>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</si>
  <si>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</si>
  <si>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</si>
  <si>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</si>
  <si>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</si>
  <si>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</si>
  <si>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</si>
  <si>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</si>
  <si>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</si>
  <si>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</si>
  <si>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</si>
  <si>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</si>
  <si>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</si>
  <si>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</si>
  <si>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</si>
  <si>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</si>
  <si>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</si>
  <si>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</si>
  <si>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</si>
  <si>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</si>
  <si>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</si>
  <si>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</si>
  <si>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</si>
  <si>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</si>
  <si>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</si>
  <si>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</si>
  <si>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</si>
  <si>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</si>
  <si>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</si>
  <si>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</si>
  <si>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</si>
  <si>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</si>
  <si>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</si>
  <si>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</si>
  <si>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</si>
  <si>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</si>
  <si>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</si>
  <si>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</si>
  <si>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</si>
  <si>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</si>
  <si>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</si>
  <si>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</si>
  <si>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</si>
  <si>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</si>
  <si>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</si>
  <si>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</si>
  <si>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</si>
  <si>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</si>
  <si>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</si>
  <si>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</si>
  <si>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</si>
  <si>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</si>
  <si>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</si>
  <si>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</si>
  <si>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</si>
  <si>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</si>
  <si>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</si>
  <si>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</si>
  <si>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</si>
  <si>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</si>
  <si>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</si>
  <si>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</si>
  <si>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</si>
  <si>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</si>
  <si>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</si>
  <si>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</si>
  <si>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</si>
  <si>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</si>
  <si>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</si>
  <si>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</si>
  <si>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</si>
  <si>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</si>
  <si>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</si>
  <si>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</si>
  <si>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</si>
  <si>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</si>
  <si>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</si>
  <si>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</si>
  <si>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</si>
  <si>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</si>
  <si>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</si>
  <si>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</si>
  <si>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</si>
  <si>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</si>
  <si>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</si>
  <si>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</si>
  <si>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</si>
  <si>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</si>
  <si>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</si>
  <si>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</si>
  <si>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</si>
  <si>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</si>
  <si>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</si>
  <si>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</si>
  <si>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</si>
  <si>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</si>
  <si>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</si>
  <si>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</si>
  <si>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</si>
  <si>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</si>
  <si>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</si>
  <si>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</si>
  <si>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</si>
  <si>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</si>
  <si>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</si>
  <si>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</si>
  <si>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</si>
  <si>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</si>
  <si>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</si>
  <si>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</si>
  <si>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</si>
  <si>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</si>
  <si>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</si>
  <si>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</si>
  <si>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</si>
  <si>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</si>
  <si>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</si>
  <si>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</si>
  <si>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</si>
  <si>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</si>
  <si>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</si>
  <si>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</si>
  <si>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</si>
  <si>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</si>
  <si>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</si>
  <si>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</si>
  <si>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</si>
  <si>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</si>
  <si>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</si>
  <si>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</si>
  <si>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</si>
  <si>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</si>
  <si>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</si>
  <si>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</si>
  <si>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</si>
  <si>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</si>
  <si>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</si>
  <si>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</si>
  <si>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</si>
  <si>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</si>
  <si>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</si>
  <si>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</si>
  <si>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</si>
  <si>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</si>
  <si>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</si>
  <si>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</si>
  <si>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</si>
  <si>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</si>
  <si>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</si>
  <si>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</si>
  <si>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</si>
  <si>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</si>
  <si>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</si>
  <si>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</si>
  <si>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</si>
  <si>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</si>
  <si>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</si>
  <si>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</si>
  <si>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</si>
  <si>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</si>
  <si>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</si>
  <si>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</si>
  <si>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</si>
  <si>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</si>
  <si>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</si>
  <si>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</si>
  <si>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</si>
  <si>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</si>
  <si>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</si>
  <si>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</si>
  <si>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</si>
  <si>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</si>
  <si>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</si>
  <si>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</si>
  <si>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</si>
  <si>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</si>
  <si>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</si>
  <si>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</si>
  <si>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</si>
  <si>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</si>
  <si>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</si>
  <si>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</si>
  <si>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</si>
  <si>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</si>
  <si>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</si>
  <si>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</si>
  <si>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</si>
  <si>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</si>
  <si>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</si>
  <si>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</si>
  <si>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</si>
  <si>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</si>
  <si>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</si>
  <si>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</si>
  <si>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</si>
  <si>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</si>
  <si>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</si>
  <si>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</si>
  <si>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</si>
  <si>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</si>
  <si>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</si>
  <si>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</si>
  <si>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</si>
  <si>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>โครงการแก้ไขปัญหายาเสพติดฯ</t>
  </si>
  <si>
    <t>โครงการยาเสพติดฯ</t>
  </si>
  <si>
    <t>ค่าวัสดุการศึกษา</t>
  </si>
  <si>
    <t>วัสดุการศึกษา</t>
  </si>
  <si>
    <t>ภาษียาสูบ</t>
  </si>
  <si>
    <t>(นางกัญญภัทร  พ่วงทอง)</t>
  </si>
  <si>
    <t>ทุนการศึกษา ผดด</t>
  </si>
  <si>
    <t xml:space="preserve">       ผู้อำนวยการกองคลัง</t>
  </si>
  <si>
    <t>ทุนการศึกษาครู ผดด</t>
  </si>
  <si>
    <t>รายจ่ายค้างจ่าย(เงินอุดหนุนเฉพาะกิจ)</t>
  </si>
  <si>
    <t>ประจำเดือนกันยายน  2556</t>
  </si>
  <si>
    <t>หมายเหตุประกอบงบทดลอง  ประจำเดือน  กันยายน  2556</t>
  </si>
  <si>
    <t xml:space="preserve">ปีงบประมาณ 2557    </t>
  </si>
  <si>
    <t>ลูกหนี้ภาษีบำรุงท้องที่</t>
  </si>
  <si>
    <t>ลูกหนี้รายได้อื่น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</si>
  <si>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</si>
  <si>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</si>
  <si>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</si>
  <si>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</si>
  <si>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</si>
  <si>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</si>
  <si>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</si>
  <si>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ฎีกาค้างจ่าย</t>
  </si>
  <si>
    <t>210401</t>
  </si>
  <si>
    <t>210403</t>
  </si>
  <si>
    <t xml:space="preserve">งบทดลอง </t>
  </si>
  <si>
    <t xml:space="preserve">                            ประจำเดือน พฤศจิกายน พ.ศ.2556    </t>
  </si>
  <si>
    <t>รับคืนเงินอุดหนุนเฉพาะกิจ-เบี้ยยังชีพคนชรา</t>
  </si>
  <si>
    <t>ประจำเดือนพฤศจิกายน  2556</t>
  </si>
  <si>
    <t>วันที่  30  พฤศจิกายน  2556</t>
  </si>
  <si>
    <t>เงินรับฝาก- เงินอุดหนุนเฉพาะกิจ</t>
  </si>
  <si>
    <t>ประจำเดือน  พฤศจิกายน  2556</t>
  </si>
  <si>
    <t xml:space="preserve"> 30 พฤศจิกายน 2556</t>
  </si>
  <si>
    <t>0089709</t>
  </si>
  <si>
    <t>28/11/56</t>
  </si>
  <si>
    <t>0089710</t>
  </si>
  <si>
    <t>0089711</t>
  </si>
  <si>
    <t>29/11/56</t>
  </si>
  <si>
    <t>0089714</t>
  </si>
  <si>
    <t>0089715</t>
  </si>
  <si>
    <t>รายละเอียด  เบี้ยยังชีพคนชรา</t>
  </si>
  <si>
    <t>วันที่        7/11/56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</si>
</sst>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3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43" fontId="16" fillId="0" borderId="50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2" xfId="1" applyNumberFormat="1" applyFont="1" applyFill="1" applyBorder="1"/>
    <xf numFmtId="43" fontId="16" fillId="0" borderId="45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18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43" fontId="27" fillId="0" borderId="13" xfId="1" applyNumberFormat="1" applyFont="1" applyFill="1" applyBorder="1"/>
    <xf numFmtId="0" fontId="27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left"/>
    </xf>
    <xf numFmtId="43" fontId="27" fillId="0" borderId="19" xfId="1" applyNumberFormat="1" applyFont="1" applyFill="1" applyBorder="1"/>
    <xf numFmtId="0" fontId="28" fillId="0" borderId="0" xfId="0" applyFont="1"/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29" fillId="0" borderId="0" xfId="0" applyFont="1"/>
    <xf numFmtId="0" fontId="29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29" fillId="0" borderId="1" xfId="0" applyFont="1" applyBorder="1"/>
    <xf numFmtId="0" fontId="29" fillId="0" borderId="3" xfId="0" applyFont="1" applyBorder="1"/>
    <xf numFmtId="49" fontId="29" fillId="0" borderId="9" xfId="0" applyNumberFormat="1" applyFont="1" applyBorder="1" applyAlignment="1">
      <alignment horizontal="center" shrinkToFit="1"/>
    </xf>
    <xf numFmtId="0" fontId="29" fillId="0" borderId="7" xfId="0" applyFont="1" applyBorder="1"/>
    <xf numFmtId="0" fontId="29" fillId="0" borderId="8" xfId="0" applyFont="1" applyBorder="1"/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29" fillId="0" borderId="18" xfId="0" applyNumberFormat="1" applyFont="1" applyBorder="1" applyAlignment="1">
      <alignment horizontal="center"/>
    </xf>
    <xf numFmtId="49" fontId="29" fillId="0" borderId="21" xfId="0" applyNumberFormat="1" applyFont="1" applyBorder="1"/>
    <xf numFmtId="43" fontId="29" fillId="0" borderId="9" xfId="1" applyNumberFormat="1" applyFont="1" applyBorder="1" applyAlignment="1">
      <alignment horizontal="center" vertical="center" shrinkToFit="1"/>
    </xf>
    <xf numFmtId="43" fontId="30" fillId="0" borderId="9" xfId="1" applyNumberFormat="1" applyFont="1" applyBorder="1" applyAlignment="1">
      <alignment horizontal="center" vertical="center" shrinkToFit="1"/>
    </xf>
    <xf numFmtId="49" fontId="29" fillId="0" borderId="18" xfId="0" applyNumberFormat="1" applyFont="1" applyBorder="1"/>
    <xf numFmtId="49" fontId="34" fillId="0" borderId="18" xfId="0" applyNumberFormat="1" applyFont="1" applyBorder="1"/>
    <xf numFmtId="49" fontId="34" fillId="0" borderId="21" xfId="0" applyNumberFormat="1" applyFont="1" applyBorder="1" applyAlignment="1">
      <alignment horizontal="right"/>
    </xf>
    <xf numFmtId="43" fontId="34" fillId="0" borderId="9" xfId="1" applyNumberFormat="1" applyFont="1" applyBorder="1" applyAlignment="1">
      <alignment horizontal="center" vertical="center" shrinkToFit="1"/>
    </xf>
    <xf numFmtId="43" fontId="35" fillId="0" borderId="9" xfId="1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left"/>
    </xf>
    <xf numFmtId="43" fontId="34" fillId="0" borderId="0" xfId="1" applyNumberFormat="1" applyFont="1"/>
    <xf numFmtId="0" fontId="34" fillId="0" borderId="0" xfId="0" applyFont="1"/>
    <xf numFmtId="49" fontId="34" fillId="0" borderId="17" xfId="0" applyNumberFormat="1" applyFont="1" applyBorder="1"/>
    <xf numFmtId="49" fontId="34" fillId="0" borderId="22" xfId="0" applyNumberFormat="1" applyFont="1" applyBorder="1" applyAlignment="1">
      <alignment horizontal="right"/>
    </xf>
    <xf numFmtId="43" fontId="34" fillId="0" borderId="19" xfId="1" applyNumberFormat="1" applyFont="1" applyBorder="1" applyAlignment="1">
      <alignment horizontal="center" vertical="center" shrinkToFit="1"/>
    </xf>
    <xf numFmtId="43" fontId="35" fillId="0" borderId="19" xfId="1" applyNumberFormat="1" applyFont="1" applyBorder="1" applyAlignment="1">
      <alignment horizontal="center" vertical="center" shrinkToFit="1"/>
    </xf>
    <xf numFmtId="43" fontId="34" fillId="0" borderId="0" xfId="0" applyNumberFormat="1" applyFont="1"/>
    <xf numFmtId="49" fontId="29" fillId="0" borderId="7" xfId="0" applyNumberFormat="1" applyFont="1" applyBorder="1" applyAlignment="1">
      <alignment horizontal="center"/>
    </xf>
    <xf numFmtId="49" fontId="29" fillId="0" borderId="8" xfId="0" applyNumberFormat="1" applyFont="1" applyBorder="1"/>
    <xf numFmtId="43" fontId="29" fillId="0" borderId="14" xfId="1" applyNumberFormat="1" applyFont="1" applyBorder="1" applyAlignment="1">
      <alignment horizontal="center" vertical="center" shrinkToFit="1"/>
    </xf>
    <xf numFmtId="43" fontId="30" fillId="0" borderId="14" xfId="1" applyNumberFormat="1" applyFont="1" applyBorder="1" applyAlignment="1">
      <alignment horizontal="center" vertical="center" shrinkToFit="1"/>
    </xf>
    <xf numFmtId="43" fontId="29" fillId="0" borderId="0" xfId="1" applyNumberFormat="1" applyFont="1" applyBorder="1"/>
    <xf numFmtId="49" fontId="29" fillId="0" borderId="23" xfId="0" applyNumberFormat="1" applyFont="1" applyBorder="1"/>
    <xf numFmtId="49" fontId="29" fillId="0" borderId="25" xfId="0" applyNumberFormat="1" applyFont="1" applyBorder="1"/>
    <xf numFmtId="43" fontId="29" fillId="0" borderId="53" xfId="1" applyNumberFormat="1" applyFont="1" applyBorder="1" applyAlignment="1">
      <alignment horizontal="center" vertical="center" shrinkToFit="1"/>
    </xf>
    <xf numFmtId="43" fontId="30" fillId="0" borderId="53" xfId="1" applyNumberFormat="1" applyFont="1" applyBorder="1" applyAlignment="1">
      <alignment horizontal="center" vertical="center" shrinkToFit="1"/>
    </xf>
    <xf numFmtId="49" fontId="29" fillId="0" borderId="7" xfId="0" applyNumberFormat="1" applyFont="1" applyBorder="1"/>
    <xf numFmtId="49" fontId="29" fillId="0" borderId="7" xfId="0" applyNumberFormat="1" applyFont="1" applyFill="1" applyBorder="1" applyAlignment="1">
      <alignment horizontal="center"/>
    </xf>
    <xf numFmtId="49" fontId="29" fillId="0" borderId="8" xfId="0" applyNumberFormat="1" applyFont="1" applyFill="1" applyBorder="1"/>
    <xf numFmtId="43" fontId="29" fillId="0" borderId="14" xfId="1" applyNumberFormat="1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left"/>
    </xf>
    <xf numFmtId="43" fontId="29" fillId="2" borderId="0" xfId="1" applyNumberFormat="1" applyFont="1" applyFill="1"/>
    <xf numFmtId="0" fontId="29" fillId="2" borderId="0" xfId="0" applyFont="1" applyFill="1"/>
    <xf numFmtId="49" fontId="29" fillId="0" borderId="18" xfId="0" applyNumberFormat="1" applyFont="1" applyFill="1" applyBorder="1"/>
    <xf numFmtId="49" fontId="29" fillId="0" borderId="21" xfId="0" applyNumberFormat="1" applyFont="1" applyFill="1" applyBorder="1"/>
    <xf numFmtId="43" fontId="29" fillId="0" borderId="9" xfId="1" applyNumberFormat="1" applyFont="1" applyFill="1" applyBorder="1" applyAlignment="1">
      <alignment horizontal="center" vertical="center" shrinkToFit="1"/>
    </xf>
    <xf numFmtId="49" fontId="34" fillId="0" borderId="18" xfId="0" applyNumberFormat="1" applyFont="1" applyFill="1" applyBorder="1"/>
    <xf numFmtId="49" fontId="34" fillId="0" borderId="21" xfId="0" applyNumberFormat="1" applyFont="1" applyFill="1" applyBorder="1" applyAlignment="1">
      <alignment horizontal="right"/>
    </xf>
    <xf numFmtId="43" fontId="34" fillId="0" borderId="9" xfId="1" applyNumberFormat="1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horizontal="left"/>
    </xf>
    <xf numFmtId="43" fontId="34" fillId="2" borderId="0" xfId="1" applyNumberFormat="1" applyFont="1" applyFill="1"/>
    <xf numFmtId="0" fontId="34" fillId="2" borderId="0" xfId="0" applyFont="1" applyFill="1"/>
    <xf numFmtId="49" fontId="34" fillId="0" borderId="17" xfId="0" applyNumberFormat="1" applyFont="1" applyFill="1" applyBorder="1"/>
    <xf numFmtId="49" fontId="34" fillId="0" borderId="22" xfId="0" applyNumberFormat="1" applyFont="1" applyFill="1" applyBorder="1" applyAlignment="1">
      <alignment horizontal="right"/>
    </xf>
    <xf numFmtId="43" fontId="34" fillId="0" borderId="19" xfId="1" applyNumberFormat="1" applyFont="1" applyFill="1" applyBorder="1" applyAlignment="1">
      <alignment horizontal="center" vertical="center" shrinkToFit="1"/>
    </xf>
    <xf numFmtId="43" fontId="34" fillId="2" borderId="0" xfId="0" applyNumberFormat="1" applyFont="1" applyFill="1" applyAlignment="1">
      <alignment horizontal="left"/>
    </xf>
    <xf numFmtId="43" fontId="30" fillId="0" borderId="14" xfId="1" applyNumberFormat="1" applyFont="1" applyFill="1" applyBorder="1" applyAlignment="1">
      <alignment horizontal="center" vertical="center" shrinkToFit="1"/>
    </xf>
    <xf numFmtId="43" fontId="36" fillId="0" borderId="14" xfId="1" applyNumberFormat="1" applyFont="1" applyFill="1" applyBorder="1" applyAlignment="1">
      <alignment horizontal="center" vertical="center" shrinkToFit="1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29" fillId="0" borderId="0" xfId="0" applyNumberFormat="1" applyFont="1"/>
    <xf numFmtId="49" fontId="31" fillId="0" borderId="18" xfId="0" applyNumberFormat="1" applyFont="1" applyFill="1" applyBorder="1"/>
    <xf numFmtId="49" fontId="31" fillId="0" borderId="21" xfId="0" applyNumberFormat="1" applyFont="1" applyFill="1" applyBorder="1" applyAlignment="1">
      <alignment horizontal="right"/>
    </xf>
    <xf numFmtId="43" fontId="31" fillId="0" borderId="9" xfId="1" applyNumberFormat="1" applyFont="1" applyFill="1" applyBorder="1" applyAlignment="1">
      <alignment horizontal="center" vertical="center" shrinkToFit="1"/>
    </xf>
    <xf numFmtId="43" fontId="37" fillId="0" borderId="9" xfId="1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1" fillId="0" borderId="0" xfId="0" applyFont="1"/>
    <xf numFmtId="49" fontId="31" fillId="0" borderId="17" xfId="0" applyNumberFormat="1" applyFont="1" applyFill="1" applyBorder="1"/>
    <xf numFmtId="49" fontId="31" fillId="0" borderId="22" xfId="0" applyNumberFormat="1" applyFont="1" applyFill="1" applyBorder="1" applyAlignment="1">
      <alignment horizontal="right"/>
    </xf>
    <xf numFmtId="43" fontId="31" fillId="0" borderId="19" xfId="1" applyNumberFormat="1" applyFont="1" applyFill="1" applyBorder="1" applyAlignment="1">
      <alignment horizontal="center" vertical="center" shrinkToFit="1"/>
    </xf>
    <xf numFmtId="43" fontId="37" fillId="0" borderId="19" xfId="1" applyNumberFormat="1" applyFont="1" applyFill="1" applyBorder="1" applyAlignment="1">
      <alignment horizontal="center" vertical="center" shrinkToFit="1"/>
    </xf>
    <xf numFmtId="43" fontId="31" fillId="0" borderId="0" xfId="0" applyNumberFormat="1" applyFont="1"/>
    <xf numFmtId="0" fontId="29" fillId="0" borderId="0" xfId="0" applyFont="1" applyFill="1" applyAlignment="1">
      <alignment horizontal="left"/>
    </xf>
    <xf numFmtId="43" fontId="29" fillId="0" borderId="0" xfId="1" applyNumberFormat="1" applyFont="1" applyFill="1" applyBorder="1"/>
    <xf numFmtId="0" fontId="29" fillId="0" borderId="0" xfId="0" applyFont="1" applyFill="1"/>
    <xf numFmtId="43" fontId="29" fillId="0" borderId="0" xfId="1" applyNumberFormat="1" applyFont="1" applyFill="1"/>
    <xf numFmtId="43" fontId="35" fillId="0" borderId="9" xfId="1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left"/>
    </xf>
    <xf numFmtId="43" fontId="34" fillId="0" borderId="0" xfId="1" applyNumberFormat="1" applyFont="1" applyFill="1"/>
    <xf numFmtId="0" fontId="34" fillId="0" borderId="0" xfId="0" applyFont="1" applyFill="1"/>
    <xf numFmtId="43" fontId="35" fillId="0" borderId="19" xfId="1" applyNumberFormat="1" applyFont="1" applyFill="1" applyBorder="1" applyAlignment="1">
      <alignment horizontal="center" vertical="center" shrinkToFit="1"/>
    </xf>
    <xf numFmtId="43" fontId="34" fillId="0" borderId="0" xfId="0" applyNumberFormat="1" applyFont="1" applyFill="1"/>
    <xf numFmtId="43" fontId="29" fillId="0" borderId="54" xfId="1" applyNumberFormat="1" applyFont="1" applyFill="1" applyBorder="1"/>
    <xf numFmtId="43" fontId="37" fillId="0" borderId="57" xfId="0" applyNumberFormat="1" applyFont="1" applyBorder="1" applyAlignment="1">
      <alignment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7" fillId="0" borderId="0" xfId="0" applyFont="1"/>
    <xf numFmtId="0" fontId="29" fillId="0" borderId="0" xfId="0" applyFont="1" applyAlignment="1"/>
    <xf numFmtId="43" fontId="29" fillId="0" borderId="0" xfId="1" applyNumberFormat="1" applyFont="1" applyAlignment="1">
      <alignment shrinkToFit="1"/>
    </xf>
    <xf numFmtId="43" fontId="30" fillId="0" borderId="11" xfId="1" applyNumberFormat="1" applyFont="1" applyBorder="1" applyAlignment="1">
      <alignment shrinkToFit="1"/>
    </xf>
    <xf numFmtId="43" fontId="30" fillId="0" borderId="0" xfId="1" applyNumberFormat="1" applyFont="1" applyBorder="1" applyAlignment="1">
      <alignment shrinkToFit="1"/>
    </xf>
    <xf numFmtId="0" fontId="38" fillId="0" borderId="0" xfId="0" applyFont="1" applyAlignment="1"/>
    <xf numFmtId="43" fontId="30" fillId="0" borderId="6" xfId="1" applyNumberFormat="1" applyFont="1" applyBorder="1" applyAlignment="1">
      <alignment shrinkToFit="1"/>
    </xf>
    <xf numFmtId="0" fontId="39" fillId="0" borderId="0" xfId="0" applyFont="1" applyBorder="1" applyAlignment="1"/>
    <xf numFmtId="0" fontId="40" fillId="0" borderId="0" xfId="0" applyFont="1" applyBorder="1" applyAlignment="1"/>
    <xf numFmtId="0" fontId="29" fillId="0" borderId="0" xfId="0" applyFont="1" applyBorder="1" applyAlignment="1"/>
    <xf numFmtId="0" fontId="29" fillId="0" borderId="0" xfId="0" applyFont="1" applyBorder="1" applyAlignment="1">
      <alignment shrinkToFit="1"/>
    </xf>
    <xf numFmtId="43" fontId="30" fillId="0" borderId="2" xfId="1" applyNumberFormat="1" applyFont="1" applyBorder="1" applyAlignment="1">
      <alignment shrinkToFit="1"/>
    </xf>
    <xf numFmtId="0" fontId="29" fillId="0" borderId="0" xfId="0" applyFont="1" applyBorder="1" applyAlignment="1">
      <alignment horizontal="left"/>
    </xf>
    <xf numFmtId="43" fontId="30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49" fontId="29" fillId="0" borderId="37" xfId="0" applyNumberFormat="1" applyFont="1" applyBorder="1" applyAlignment="1">
      <alignment horizontal="center"/>
    </xf>
    <xf numFmtId="49" fontId="29" fillId="0" borderId="14" xfId="0" applyNumberFormat="1" applyFont="1" applyBorder="1" applyAlignment="1">
      <alignment horizontal="center"/>
    </xf>
    <xf numFmtId="49" fontId="29" fillId="0" borderId="9" xfId="0" applyNumberFormat="1" applyFont="1" applyFill="1" applyBorder="1" applyAlignment="1">
      <alignment horizontal="center"/>
    </xf>
    <xf numFmtId="49" fontId="29" fillId="0" borderId="37" xfId="0" applyNumberFormat="1" applyFont="1" applyFill="1" applyBorder="1" applyAlignment="1">
      <alignment horizontal="center"/>
    </xf>
    <xf numFmtId="49" fontId="29" fillId="0" borderId="14" xfId="0" applyNumberFormat="1" applyFont="1" applyFill="1" applyBorder="1" applyAlignment="1">
      <alignment horizontal="center"/>
    </xf>
    <xf numFmtId="49" fontId="29" fillId="0" borderId="58" xfId="0" applyNumberFormat="1" applyFont="1" applyFill="1" applyBorder="1" applyAlignment="1">
      <alignment horizontal="center"/>
    </xf>
    <xf numFmtId="1" fontId="16" fillId="0" borderId="58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9" fillId="0" borderId="58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54" fillId="0" borderId="13" xfId="0" applyFont="1" applyBorder="1"/>
    <xf numFmtId="0" fontId="14" fillId="0" borderId="4" xfId="0" applyFont="1" applyBorder="1"/>
    <xf numFmtId="0" fontId="54" fillId="0" borderId="4" xfId="0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6" fillId="0" borderId="45" xfId="1" applyNumberFormat="1" applyFont="1" applyFill="1" applyBorder="1" applyAlignment="1">
      <alignment horizontal="center" vertical="center"/>
    </xf>
    <xf numFmtId="43" fontId="14" fillId="0" borderId="60" xfId="1" applyNumberFormat="1" applyFont="1" applyFill="1" applyBorder="1" applyAlignment="1">
      <alignment horizontal="center"/>
    </xf>
    <xf numFmtId="43" fontId="14" fillId="0" borderId="59" xfId="1" applyNumberFormat="1" applyFont="1" applyFill="1" applyBorder="1" applyAlignment="1">
      <alignment horizontal="center"/>
    </xf>
    <xf numFmtId="43" fontId="14" fillId="0" borderId="43" xfId="1" applyNumberFormat="1" applyFont="1" applyFill="1" applyBorder="1" applyAlignment="1">
      <alignment horizontal="center"/>
    </xf>
    <xf numFmtId="43" fontId="14" fillId="0" borderId="4" xfId="1" applyNumberFormat="1" applyFont="1" applyFill="1" applyBorder="1" applyAlignment="1">
      <alignment horizontal="center"/>
    </xf>
    <xf numFmtId="43" fontId="14" fillId="0" borderId="0" xfId="1" applyNumberFormat="1" applyFont="1" applyFill="1" applyBorder="1" applyAlignment="1">
      <alignment horizontal="center"/>
    </xf>
    <xf numFmtId="49" fontId="29" fillId="0" borderId="18" xfId="0" applyNumberFormat="1" applyFont="1" applyBorder="1" applyAlignment="1">
      <alignment horizontal="center" shrinkToFit="1"/>
    </xf>
    <xf numFmtId="49" fontId="29" fillId="0" borderId="21" xfId="0" applyNumberFormat="1" applyFont="1" applyBorder="1" applyAlignment="1">
      <alignment horizontal="center" shrinkToFit="1"/>
    </xf>
    <xf numFmtId="49" fontId="29" fillId="0" borderId="20" xfId="0" applyNumberFormat="1" applyFont="1" applyBorder="1" applyAlignment="1">
      <alignment horizontal="center" shrinkToFit="1"/>
    </xf>
    <xf numFmtId="0" fontId="30" fillId="0" borderId="10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7" fillId="0" borderId="55" xfId="0" applyFont="1" applyBorder="1" applyAlignment="1">
      <alignment horizontal="center" shrinkToFit="1"/>
    </xf>
    <xf numFmtId="0" fontId="37" fillId="0" borderId="56" xfId="0" applyFont="1" applyBorder="1" applyAlignment="1">
      <alignment horizontal="center" shrinkToFit="1"/>
    </xf>
    <xf numFmtId="0" fontId="29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42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46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46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43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45</xdr:row>
      <xdr:rowOff>96852</xdr:rowOff>
    </xdr:from>
    <xdr:to>
      <xdr:col>2</xdr:col>
      <xdr:colOff>82554</xdr:colOff>
      <xdr:row>45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45</xdr:row>
      <xdr:rowOff>95265</xdr:rowOff>
    </xdr:from>
    <xdr:to>
      <xdr:col>9</xdr:col>
      <xdr:colOff>800100</xdr:colOff>
      <xdr:row>45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45</xdr:row>
      <xdr:rowOff>87327</xdr:rowOff>
    </xdr:from>
    <xdr:to>
      <xdr:col>5</xdr:col>
      <xdr:colOff>447678</xdr:colOff>
      <xdr:row>45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43</xdr:row>
      <xdr:rowOff>7955</xdr:rowOff>
    </xdr:from>
    <xdr:to>
      <xdr:col>2</xdr:col>
      <xdr:colOff>58742</xdr:colOff>
      <xdr:row>43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43</xdr:row>
      <xdr:rowOff>15893</xdr:rowOff>
    </xdr:from>
    <xdr:to>
      <xdr:col>9</xdr:col>
      <xdr:colOff>404813</xdr:colOff>
      <xdr:row>43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42</xdr:row>
      <xdr:rowOff>314341</xdr:rowOff>
    </xdr:from>
    <xdr:to>
      <xdr:col>5</xdr:col>
      <xdr:colOff>376241</xdr:colOff>
      <xdr:row>42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abSelected="1" workbookViewId="0">
      <selection activeCell="B14" sqref="B14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397" t="s">
        <v>83</v>
      </c>
      <c r="B2" s="397"/>
      <c r="C2" s="397"/>
      <c r="D2" s="397"/>
      <c r="E2" s="397"/>
      <c r="F2" s="397"/>
      <c r="G2" s="397"/>
      <c r="H2" s="397"/>
      <c r="I2" s="397"/>
    </row>
    <row r="3" spans="1:12" ht="23.1" customHeight="1">
      <c r="A3" s="397" t="s">
        <v>82</v>
      </c>
      <c r="B3" s="397"/>
      <c r="C3" s="397"/>
      <c r="D3" s="397"/>
      <c r="E3" s="397"/>
      <c r="F3" s="397"/>
      <c r="G3" s="397"/>
      <c r="H3" s="397"/>
      <c r="I3" s="397"/>
    </row>
    <row r="4" spans="1:12" ht="23.1" customHeight="1">
      <c r="A4" s="398" t="s">
        <v>399</v>
      </c>
      <c r="B4" s="398"/>
      <c r="C4" s="398"/>
      <c r="D4" s="398"/>
      <c r="E4" s="398"/>
      <c r="F4" s="398"/>
      <c r="G4" s="398"/>
      <c r="H4" s="398"/>
      <c r="I4" s="398"/>
    </row>
    <row r="5" spans="1:12" ht="23.1" customHeight="1">
      <c r="A5" s="397" t="s">
        <v>81</v>
      </c>
      <c r="B5" s="397"/>
      <c r="C5" s="397"/>
      <c r="D5" s="397"/>
      <c r="E5" s="397"/>
      <c r="F5" s="397"/>
      <c r="G5" s="397"/>
      <c r="H5" s="397"/>
      <c r="I5" s="397"/>
    </row>
    <row r="6" spans="1:12" ht="23.1" customHeight="1" thickBot="1">
      <c r="A6" s="399" t="s">
        <v>413</v>
      </c>
      <c r="B6" s="399"/>
      <c r="C6" s="399"/>
      <c r="D6" s="399"/>
      <c r="E6" s="399"/>
      <c r="F6" s="399"/>
      <c r="G6" s="399"/>
      <c r="H6" s="399"/>
      <c r="I6" s="399"/>
    </row>
    <row r="7" spans="1:12" ht="21" thickTop="1">
      <c r="A7" s="400" t="s">
        <v>73</v>
      </c>
      <c r="B7" s="401"/>
      <c r="C7" s="401"/>
      <c r="D7" s="402"/>
      <c r="E7" s="403" t="s">
        <v>72</v>
      </c>
      <c r="F7" s="404"/>
      <c r="G7" s="409" t="s">
        <v>2</v>
      </c>
      <c r="H7" s="412" t="s">
        <v>71</v>
      </c>
      <c r="I7" s="413"/>
    </row>
    <row r="8" spans="1:12" ht="20.25">
      <c r="A8" s="414" t="s">
        <v>70</v>
      </c>
      <c r="B8" s="415"/>
      <c r="C8" s="33" t="s">
        <v>69</v>
      </c>
      <c r="D8" s="33"/>
      <c r="E8" s="405"/>
      <c r="F8" s="406"/>
      <c r="G8" s="410"/>
      <c r="H8" s="385" t="s">
        <v>69</v>
      </c>
      <c r="I8" s="386"/>
    </row>
    <row r="9" spans="1:12" ht="21" thickBot="1">
      <c r="A9" s="387" t="s">
        <v>27</v>
      </c>
      <c r="B9" s="388"/>
      <c r="C9" s="34" t="s">
        <v>27</v>
      </c>
      <c r="D9" s="34"/>
      <c r="E9" s="407"/>
      <c r="F9" s="408"/>
      <c r="G9" s="411"/>
      <c r="H9" s="389" t="s">
        <v>27</v>
      </c>
      <c r="I9" s="390"/>
    </row>
    <row r="10" spans="1:12" ht="24" customHeight="1" thickTop="1">
      <c r="A10" s="67"/>
      <c r="B10" s="74"/>
      <c r="C10" s="391">
        <v>23198377.32</v>
      </c>
      <c r="D10" s="392"/>
      <c r="E10" s="393" t="s">
        <v>56</v>
      </c>
      <c r="F10" s="394"/>
      <c r="G10" s="35"/>
      <c r="H10" s="395">
        <v>23850508.899999999</v>
      </c>
      <c r="I10" s="396"/>
    </row>
    <row r="11" spans="1:12" ht="24.95" customHeight="1">
      <c r="A11" s="67"/>
      <c r="B11" s="75"/>
      <c r="C11" s="33"/>
      <c r="D11" s="36"/>
      <c r="E11" s="418" t="s">
        <v>80</v>
      </c>
      <c r="F11" s="419"/>
      <c r="G11" s="37"/>
      <c r="H11" s="395"/>
      <c r="I11" s="396"/>
    </row>
    <row r="12" spans="1:12" ht="24.95" customHeight="1">
      <c r="A12" s="67">
        <v>217000</v>
      </c>
      <c r="B12" s="37" t="s">
        <v>5</v>
      </c>
      <c r="C12" s="395">
        <f>2274.84+2320.23</f>
        <v>4595.07</v>
      </c>
      <c r="D12" s="396"/>
      <c r="E12" s="416" t="s">
        <v>127</v>
      </c>
      <c r="F12" s="417"/>
      <c r="G12" s="37" t="s">
        <v>114</v>
      </c>
      <c r="H12" s="395">
        <v>2320.23</v>
      </c>
      <c r="I12" s="396"/>
      <c r="J12" s="39"/>
      <c r="K12" s="39"/>
      <c r="L12" s="84"/>
    </row>
    <row r="13" spans="1:12" ht="24.95" customHeight="1">
      <c r="A13" s="67">
        <v>51200</v>
      </c>
      <c r="B13" s="37" t="s">
        <v>5</v>
      </c>
      <c r="C13" s="395">
        <f>120+1096</f>
        <v>1216</v>
      </c>
      <c r="D13" s="396"/>
      <c r="E13" s="416" t="s">
        <v>126</v>
      </c>
      <c r="F13" s="417"/>
      <c r="G13" s="37" t="s">
        <v>115</v>
      </c>
      <c r="H13" s="395">
        <v>1096</v>
      </c>
      <c r="I13" s="396"/>
      <c r="J13" s="39"/>
      <c r="K13" s="39"/>
    </row>
    <row r="14" spans="1:12" ht="24.95" customHeight="1">
      <c r="A14" s="67">
        <v>160000</v>
      </c>
      <c r="B14" s="37" t="s">
        <v>5</v>
      </c>
      <c r="C14" s="395">
        <f>18843.08</f>
        <v>18843.080000000002</v>
      </c>
      <c r="D14" s="396"/>
      <c r="E14" s="416" t="s">
        <v>125</v>
      </c>
      <c r="F14" s="417"/>
      <c r="G14" s="37" t="s">
        <v>116</v>
      </c>
      <c r="H14" s="395">
        <v>18843.080000000002</v>
      </c>
      <c r="I14" s="396"/>
      <c r="J14" s="39"/>
      <c r="K14" s="39"/>
    </row>
    <row r="15" spans="1:12" ht="24.95" customHeight="1">
      <c r="A15" s="67">
        <v>600000</v>
      </c>
      <c r="B15" s="37" t="s">
        <v>5</v>
      </c>
      <c r="C15" s="395">
        <f>48630+48855</f>
        <v>97485</v>
      </c>
      <c r="D15" s="396"/>
      <c r="E15" s="416" t="s">
        <v>124</v>
      </c>
      <c r="F15" s="417"/>
      <c r="G15" s="37" t="s">
        <v>117</v>
      </c>
      <c r="H15" s="395">
        <v>48855</v>
      </c>
      <c r="I15" s="396"/>
      <c r="J15" s="39"/>
      <c r="K15" s="39"/>
    </row>
    <row r="16" spans="1:12" ht="24.95" customHeight="1">
      <c r="A16" s="67">
        <v>80000</v>
      </c>
      <c r="B16" s="37" t="s">
        <v>5</v>
      </c>
      <c r="C16" s="395">
        <f>3288</f>
        <v>3288</v>
      </c>
      <c r="D16" s="396"/>
      <c r="E16" s="416" t="s">
        <v>123</v>
      </c>
      <c r="F16" s="417"/>
      <c r="G16" s="37" t="s">
        <v>118</v>
      </c>
      <c r="H16" s="395">
        <v>3288</v>
      </c>
      <c r="I16" s="396"/>
      <c r="J16" s="39"/>
      <c r="K16" s="39"/>
    </row>
    <row r="17" spans="1:11" ht="24.95" customHeight="1">
      <c r="A17" s="67">
        <v>13102500</v>
      </c>
      <c r="B17" s="37" t="s">
        <v>5</v>
      </c>
      <c r="C17" s="395">
        <f>1194421.42+1291122.84</f>
        <v>2485544.2599999998</v>
      </c>
      <c r="D17" s="396"/>
      <c r="E17" s="416" t="s">
        <v>122</v>
      </c>
      <c r="F17" s="417"/>
      <c r="G17" s="37" t="s">
        <v>119</v>
      </c>
      <c r="H17" s="395">
        <v>1291122.8400000001</v>
      </c>
      <c r="I17" s="396"/>
      <c r="J17" s="39"/>
      <c r="K17" s="39"/>
    </row>
    <row r="18" spans="1:11" ht="24.95" customHeight="1">
      <c r="A18" s="67">
        <v>12000000</v>
      </c>
      <c r="B18" s="37" t="s">
        <v>5</v>
      </c>
      <c r="C18" s="420">
        <v>0</v>
      </c>
      <c r="D18" s="421"/>
      <c r="E18" s="416" t="s">
        <v>121</v>
      </c>
      <c r="F18" s="417"/>
      <c r="G18" s="37" t="s">
        <v>120</v>
      </c>
      <c r="H18" s="420">
        <v>0</v>
      </c>
      <c r="I18" s="421"/>
      <c r="J18" s="39"/>
      <c r="K18" s="39"/>
    </row>
    <row r="19" spans="1:11" ht="24" customHeight="1" thickBot="1">
      <c r="A19" s="68">
        <f>SUM(A12:A18)</f>
        <v>26210700</v>
      </c>
      <c r="B19" s="76" t="s">
        <v>5</v>
      </c>
      <c r="C19" s="422">
        <f>SUM(C12:C18)</f>
        <v>2610971.4099999997</v>
      </c>
      <c r="D19" s="423"/>
      <c r="E19" s="416"/>
      <c r="F19" s="417"/>
      <c r="G19" s="37"/>
      <c r="H19" s="422">
        <f>SUM(H12:H18)</f>
        <v>1365525.1500000001</v>
      </c>
      <c r="I19" s="423"/>
      <c r="J19" s="39"/>
      <c r="K19" s="39"/>
    </row>
    <row r="20" spans="1:11" ht="24" hidden="1" customHeight="1">
      <c r="A20" s="69"/>
      <c r="B20" s="77"/>
      <c r="C20" s="391">
        <v>0</v>
      </c>
      <c r="D20" s="392"/>
      <c r="E20" s="416" t="s">
        <v>79</v>
      </c>
      <c r="F20" s="417"/>
      <c r="G20" s="37" t="s">
        <v>78</v>
      </c>
      <c r="H20" s="395" t="s">
        <v>5</v>
      </c>
      <c r="I20" s="396"/>
      <c r="J20" s="39"/>
      <c r="K20" s="39"/>
    </row>
    <row r="21" spans="1:11" ht="24.95" customHeight="1" thickTop="1">
      <c r="A21" s="69"/>
      <c r="B21" s="78"/>
      <c r="C21" s="395">
        <v>0</v>
      </c>
      <c r="D21" s="396"/>
      <c r="E21" s="416" t="s">
        <v>166</v>
      </c>
      <c r="F21" s="417"/>
      <c r="G21" s="37" t="s">
        <v>128</v>
      </c>
      <c r="H21" s="395">
        <v>0</v>
      </c>
      <c r="I21" s="396"/>
      <c r="J21" s="39"/>
      <c r="K21" s="39"/>
    </row>
    <row r="22" spans="1:11" ht="20.25" hidden="1">
      <c r="A22" s="69"/>
      <c r="B22" s="78"/>
      <c r="C22" s="395"/>
      <c r="D22" s="396"/>
      <c r="E22" s="52" t="s">
        <v>157</v>
      </c>
      <c r="F22" s="53"/>
      <c r="G22" s="37"/>
      <c r="H22" s="395"/>
      <c r="I22" s="396"/>
      <c r="J22" s="39"/>
      <c r="K22" s="39"/>
    </row>
    <row r="23" spans="1:11" ht="20.25">
      <c r="A23" s="69"/>
      <c r="B23" s="78"/>
      <c r="C23" s="395">
        <f>13452.95+6760.42</f>
        <v>20213.370000000003</v>
      </c>
      <c r="D23" s="396"/>
      <c r="E23" s="416" t="s">
        <v>66</v>
      </c>
      <c r="F23" s="417"/>
      <c r="G23" s="37" t="s">
        <v>142</v>
      </c>
      <c r="H23" s="395">
        <f>'หมายเหตุ 2'!D12</f>
        <v>6760.42</v>
      </c>
      <c r="I23" s="396"/>
      <c r="J23" s="39"/>
      <c r="K23" s="39"/>
    </row>
    <row r="24" spans="1:11" ht="21">
      <c r="A24" s="69"/>
      <c r="B24" s="78"/>
      <c r="C24" s="395">
        <f>858.85+1965.12</f>
        <v>2823.97</v>
      </c>
      <c r="D24" s="396"/>
      <c r="E24" s="379" t="s">
        <v>400</v>
      </c>
      <c r="F24" s="377"/>
      <c r="G24" s="37" t="s">
        <v>402</v>
      </c>
      <c r="H24" s="395">
        <v>1965.12</v>
      </c>
      <c r="I24" s="396"/>
      <c r="J24" s="39"/>
      <c r="K24" s="39"/>
    </row>
    <row r="25" spans="1:11" ht="24.95" customHeight="1">
      <c r="A25" s="85"/>
      <c r="B25" s="78"/>
      <c r="C25" s="395">
        <f>21000</f>
        <v>21000</v>
      </c>
      <c r="D25" s="396"/>
      <c r="E25" s="379" t="s">
        <v>404</v>
      </c>
      <c r="F25" s="77"/>
      <c r="G25" s="37" t="s">
        <v>403</v>
      </c>
      <c r="H25" s="395">
        <v>0</v>
      </c>
      <c r="I25" s="396"/>
      <c r="J25" s="39"/>
      <c r="K25" s="39"/>
    </row>
    <row r="26" spans="1:11" ht="20.25" hidden="1">
      <c r="A26" s="85"/>
      <c r="B26" s="78"/>
      <c r="C26" s="395"/>
      <c r="D26" s="396"/>
      <c r="E26" s="416"/>
      <c r="F26" s="417"/>
      <c r="G26" s="37"/>
      <c r="H26" s="395"/>
      <c r="I26" s="396"/>
      <c r="J26" s="39">
        <f>C26+H26</f>
        <v>0</v>
      </c>
      <c r="K26" s="39" t="e">
        <v>#VALUE!</v>
      </c>
    </row>
    <row r="27" spans="1:11" ht="21">
      <c r="A27" s="85"/>
      <c r="B27" s="78"/>
      <c r="C27" s="395">
        <f>4390+6895</f>
        <v>11285</v>
      </c>
      <c r="D27" s="396"/>
      <c r="E27" s="379" t="s">
        <v>405</v>
      </c>
      <c r="F27" s="77"/>
      <c r="G27" s="37" t="s">
        <v>406</v>
      </c>
      <c r="H27" s="395">
        <v>6895</v>
      </c>
      <c r="I27" s="396"/>
      <c r="J27" s="39"/>
      <c r="K27" s="39"/>
    </row>
    <row r="28" spans="1:11" ht="21">
      <c r="A28" s="85"/>
      <c r="B28" s="78"/>
      <c r="C28" s="395">
        <f>130065.07+450</f>
        <v>130515.07</v>
      </c>
      <c r="D28" s="396"/>
      <c r="E28" s="381" t="s">
        <v>14</v>
      </c>
      <c r="F28" s="377"/>
      <c r="G28" s="37" t="s">
        <v>407</v>
      </c>
      <c r="H28" s="395">
        <v>450</v>
      </c>
      <c r="I28" s="396"/>
      <c r="J28" s="39"/>
      <c r="K28" s="39"/>
    </row>
    <row r="29" spans="1:11" ht="23.25">
      <c r="A29" s="85"/>
      <c r="B29" s="78"/>
      <c r="C29" s="395">
        <v>2000</v>
      </c>
      <c r="D29" s="396"/>
      <c r="E29" s="380" t="s">
        <v>414</v>
      </c>
      <c r="F29" s="77"/>
      <c r="G29" s="37"/>
      <c r="H29" s="395">
        <v>2000</v>
      </c>
      <c r="I29" s="396"/>
      <c r="J29" s="39"/>
      <c r="K29" s="39"/>
    </row>
    <row r="30" spans="1:11" ht="20.25">
      <c r="A30" s="85"/>
      <c r="B30" s="78"/>
      <c r="C30" s="395">
        <v>0</v>
      </c>
      <c r="D30" s="396"/>
      <c r="E30" s="45"/>
      <c r="F30" s="77"/>
      <c r="G30" s="37"/>
      <c r="H30" s="395"/>
      <c r="I30" s="396"/>
      <c r="J30" s="39"/>
      <c r="K30" s="39"/>
    </row>
    <row r="31" spans="1:11" ht="20.25">
      <c r="A31" s="85"/>
      <c r="B31" s="78"/>
      <c r="C31" s="395"/>
      <c r="D31" s="396"/>
      <c r="E31" s="52"/>
      <c r="F31" s="53"/>
      <c r="G31" s="37"/>
      <c r="H31" s="395"/>
      <c r="I31" s="396"/>
      <c r="J31" s="39"/>
      <c r="K31" s="39"/>
    </row>
    <row r="32" spans="1:11" ht="20.25">
      <c r="A32" s="85"/>
      <c r="B32" s="78"/>
      <c r="C32" s="371"/>
      <c r="D32" s="372"/>
      <c r="E32" s="373"/>
      <c r="F32" s="374"/>
      <c r="G32" s="37"/>
      <c r="H32" s="371"/>
      <c r="I32" s="372"/>
      <c r="J32" s="39"/>
      <c r="K32" s="39"/>
    </row>
    <row r="33" spans="1:12" ht="67.5" customHeight="1">
      <c r="A33" s="85"/>
      <c r="B33" s="78"/>
      <c r="C33" s="395"/>
      <c r="D33" s="396"/>
      <c r="E33" s="52"/>
      <c r="F33" s="53"/>
      <c r="G33" s="37"/>
      <c r="H33" s="395"/>
      <c r="I33" s="396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4.95" hidden="1" customHeight="1">
      <c r="A36" s="69"/>
      <c r="B36" s="78"/>
      <c r="C36" s="395"/>
      <c r="D36" s="396"/>
      <c r="E36" s="416" t="s">
        <v>75</v>
      </c>
      <c r="F36" s="417"/>
      <c r="G36" s="37" t="s">
        <v>129</v>
      </c>
      <c r="H36" s="395"/>
      <c r="I36" s="396"/>
      <c r="J36" s="39">
        <f t="shared" ref="J36:J41" si="0">C36+H36</f>
        <v>0</v>
      </c>
      <c r="K36" s="39" t="e">
        <v>#VALUE!</v>
      </c>
      <c r="L36" s="32">
        <v>123028</v>
      </c>
    </row>
    <row r="37" spans="1:12" s="62" customFormat="1" ht="24.95" hidden="1" customHeight="1">
      <c r="A37" s="69"/>
      <c r="B37" s="78"/>
      <c r="C37" s="395"/>
      <c r="D37" s="396"/>
      <c r="E37" s="416" t="s">
        <v>76</v>
      </c>
      <c r="F37" s="417"/>
      <c r="G37" s="60">
        <v>110607</v>
      </c>
      <c r="H37" s="395"/>
      <c r="I37" s="396"/>
      <c r="J37" s="61">
        <f t="shared" si="0"/>
        <v>0</v>
      </c>
      <c r="K37" s="61" t="e">
        <v>#VALUE!</v>
      </c>
      <c r="L37" s="62">
        <v>6560</v>
      </c>
    </row>
    <row r="38" spans="1:12" ht="24.95" hidden="1" customHeight="1">
      <c r="A38" s="69"/>
      <c r="B38" s="78"/>
      <c r="C38" s="395"/>
      <c r="D38" s="396"/>
      <c r="E38" s="416" t="s">
        <v>14</v>
      </c>
      <c r="F38" s="417"/>
      <c r="G38" s="37" t="s">
        <v>156</v>
      </c>
      <c r="H38" s="430"/>
      <c r="I38" s="431"/>
      <c r="J38" s="39">
        <f t="shared" si="0"/>
        <v>0</v>
      </c>
      <c r="K38" s="39" t="e">
        <v>#VALUE!</v>
      </c>
      <c r="L38" s="32">
        <f>SUM(L36:L37)</f>
        <v>129588</v>
      </c>
    </row>
    <row r="39" spans="1:12" ht="24.95" hidden="1" customHeight="1">
      <c r="A39" s="69"/>
      <c r="B39" s="78"/>
      <c r="C39" s="395"/>
      <c r="D39" s="396"/>
      <c r="E39" s="52" t="s">
        <v>158</v>
      </c>
      <c r="F39" s="53"/>
      <c r="G39" s="37" t="s">
        <v>135</v>
      </c>
      <c r="H39" s="395"/>
      <c r="I39" s="396"/>
      <c r="J39" s="39">
        <f t="shared" si="0"/>
        <v>0</v>
      </c>
      <c r="K39" s="39"/>
    </row>
    <row r="40" spans="1:12" ht="24" hidden="1" customHeight="1">
      <c r="A40" s="69"/>
      <c r="B40" s="78"/>
      <c r="C40" s="395"/>
      <c r="D40" s="396"/>
      <c r="E40" s="52" t="s">
        <v>163</v>
      </c>
      <c r="F40" s="53"/>
      <c r="G40" s="37"/>
      <c r="H40" s="395"/>
      <c r="I40" s="396"/>
      <c r="J40" s="39">
        <f t="shared" si="0"/>
        <v>0</v>
      </c>
      <c r="K40" s="39"/>
    </row>
    <row r="41" spans="1:12" ht="24" hidden="1" customHeight="1">
      <c r="A41" s="69"/>
      <c r="B41" s="78"/>
      <c r="C41" s="395"/>
      <c r="D41" s="396"/>
      <c r="E41" s="52" t="s">
        <v>164</v>
      </c>
      <c r="F41" s="53"/>
      <c r="G41" s="37"/>
      <c r="H41" s="395"/>
      <c r="I41" s="396"/>
      <c r="J41" s="39">
        <f t="shared" si="0"/>
        <v>0</v>
      </c>
      <c r="K41" s="39"/>
    </row>
    <row r="42" spans="1:12" ht="24" customHeight="1">
      <c r="A42" s="69"/>
      <c r="B42" s="78"/>
      <c r="C42" s="424">
        <f>SUM(C21:C41)</f>
        <v>187837.41</v>
      </c>
      <c r="D42" s="425"/>
      <c r="E42" s="416"/>
      <c r="F42" s="417"/>
      <c r="G42" s="37"/>
      <c r="H42" s="424">
        <f>SUM(H21:H41)</f>
        <v>18070.54</v>
      </c>
      <c r="I42" s="425"/>
      <c r="J42" s="39"/>
      <c r="K42" s="39"/>
    </row>
    <row r="43" spans="1:12" s="55" customFormat="1" ht="24" customHeight="1">
      <c r="A43" s="70"/>
      <c r="B43" s="80"/>
      <c r="C43" s="426">
        <f>C19+C42</f>
        <v>2798808.82</v>
      </c>
      <c r="D43" s="427"/>
      <c r="E43" s="428" t="s">
        <v>74</v>
      </c>
      <c r="F43" s="429"/>
      <c r="G43" s="86"/>
      <c r="H43" s="426">
        <f>H19+H42</f>
        <v>1383595.6900000002</v>
      </c>
      <c r="I43" s="427"/>
      <c r="J43" s="54"/>
      <c r="K43" s="54"/>
    </row>
    <row r="44" spans="1:12" ht="17.100000000000001" customHeight="1">
      <c r="A44" s="432" t="s">
        <v>73</v>
      </c>
      <c r="B44" s="433"/>
      <c r="C44" s="433"/>
      <c r="D44" s="434"/>
      <c r="E44" s="435" t="s">
        <v>72</v>
      </c>
      <c r="F44" s="436"/>
      <c r="G44" s="439" t="s">
        <v>2</v>
      </c>
      <c r="H44" s="441" t="s">
        <v>71</v>
      </c>
      <c r="I44" s="442"/>
    </row>
    <row r="45" spans="1:12" ht="17.100000000000001" customHeight="1">
      <c r="A45" s="443" t="s">
        <v>70</v>
      </c>
      <c r="B45" s="444"/>
      <c r="C45" s="385" t="s">
        <v>69</v>
      </c>
      <c r="D45" s="386"/>
      <c r="E45" s="405"/>
      <c r="F45" s="406"/>
      <c r="G45" s="410"/>
      <c r="H45" s="445" t="s">
        <v>69</v>
      </c>
      <c r="I45" s="446"/>
    </row>
    <row r="46" spans="1:12" ht="17.100000000000001" customHeight="1">
      <c r="A46" s="447" t="s">
        <v>27</v>
      </c>
      <c r="B46" s="448"/>
      <c r="C46" s="449" t="s">
        <v>27</v>
      </c>
      <c r="D46" s="450"/>
      <c r="E46" s="437"/>
      <c r="F46" s="438"/>
      <c r="G46" s="440"/>
      <c r="H46" s="449" t="s">
        <v>27</v>
      </c>
      <c r="I46" s="450"/>
    </row>
    <row r="47" spans="1:12" ht="17.100000000000001" customHeight="1">
      <c r="A47" s="67"/>
      <c r="B47" s="75"/>
      <c r="C47" s="41"/>
      <c r="D47" s="36"/>
      <c r="E47" s="42" t="s">
        <v>68</v>
      </c>
      <c r="F47" s="36"/>
      <c r="G47" s="37"/>
      <c r="H47" s="395"/>
      <c r="I47" s="396"/>
    </row>
    <row r="48" spans="1:12" ht="23.1" customHeight="1">
      <c r="A48" s="67">
        <v>1354110</v>
      </c>
      <c r="B48" s="37" t="s">
        <v>5</v>
      </c>
      <c r="C48" s="395">
        <f>79864</f>
        <v>79864</v>
      </c>
      <c r="D48" s="396"/>
      <c r="E48" s="42"/>
      <c r="F48" s="36" t="s">
        <v>6</v>
      </c>
      <c r="G48" s="37" t="s">
        <v>130</v>
      </c>
      <c r="H48" s="395">
        <v>79864</v>
      </c>
      <c r="I48" s="396"/>
      <c r="J48" s="39"/>
      <c r="K48" s="39"/>
    </row>
    <row r="49" spans="1:13" ht="23.1" customHeight="1">
      <c r="A49" s="67">
        <v>2052720</v>
      </c>
      <c r="B49" s="37" t="s">
        <v>5</v>
      </c>
      <c r="C49" s="395">
        <f>171060+171060</f>
        <v>342120</v>
      </c>
      <c r="D49" s="396"/>
      <c r="E49" s="44"/>
      <c r="F49" s="36" t="s">
        <v>131</v>
      </c>
      <c r="G49" s="37" t="s">
        <v>133</v>
      </c>
      <c r="H49" s="395">
        <v>171060</v>
      </c>
      <c r="I49" s="396"/>
      <c r="J49" s="39"/>
      <c r="K49" s="39"/>
      <c r="L49" s="395"/>
      <c r="M49" s="396"/>
    </row>
    <row r="50" spans="1:13" ht="23.1" customHeight="1">
      <c r="A50" s="67">
        <v>4122760</v>
      </c>
      <c r="B50" s="37" t="s">
        <v>5</v>
      </c>
      <c r="C50" s="395">
        <f>272220+272300</f>
        <v>544520</v>
      </c>
      <c r="D50" s="396"/>
      <c r="E50" s="44"/>
      <c r="F50" s="36" t="s">
        <v>132</v>
      </c>
      <c r="G50" s="37" t="s">
        <v>134</v>
      </c>
      <c r="H50" s="395">
        <v>272300</v>
      </c>
      <c r="I50" s="396"/>
      <c r="J50" s="39"/>
      <c r="K50" s="39"/>
    </row>
    <row r="51" spans="1:13" ht="23.1" customHeight="1">
      <c r="A51" s="67">
        <v>1072840</v>
      </c>
      <c r="B51" s="37" t="s">
        <v>5</v>
      </c>
      <c r="C51" s="395">
        <f>100800+100800</f>
        <v>201600</v>
      </c>
      <c r="D51" s="396"/>
      <c r="E51" s="44"/>
      <c r="F51" s="36" t="s">
        <v>189</v>
      </c>
      <c r="G51" s="37" t="s">
        <v>134</v>
      </c>
      <c r="H51" s="395">
        <v>100800</v>
      </c>
      <c r="I51" s="396"/>
      <c r="J51" s="39"/>
      <c r="K51" s="39"/>
    </row>
    <row r="52" spans="1:13" ht="23.1" customHeight="1">
      <c r="A52" s="67">
        <v>1138500</v>
      </c>
      <c r="B52" s="37" t="s">
        <v>5</v>
      </c>
      <c r="C52" s="395">
        <f>8337+29216</f>
        <v>37553</v>
      </c>
      <c r="D52" s="396"/>
      <c r="E52" s="44"/>
      <c r="F52" s="36" t="s">
        <v>7</v>
      </c>
      <c r="G52" s="37" t="s">
        <v>135</v>
      </c>
      <c r="H52" s="395">
        <v>29216</v>
      </c>
      <c r="I52" s="396"/>
      <c r="J52" s="39"/>
      <c r="K52" s="39"/>
    </row>
    <row r="53" spans="1:13" ht="23.1" customHeight="1">
      <c r="A53" s="67">
        <v>4350000</v>
      </c>
      <c r="B53" s="37" t="s">
        <v>5</v>
      </c>
      <c r="C53" s="395">
        <f>10000+141899</f>
        <v>151899</v>
      </c>
      <c r="D53" s="396"/>
      <c r="E53" s="44"/>
      <c r="F53" s="36" t="s">
        <v>8</v>
      </c>
      <c r="G53" s="37" t="s">
        <v>136</v>
      </c>
      <c r="H53" s="395">
        <v>141899</v>
      </c>
      <c r="I53" s="396"/>
      <c r="J53" s="39"/>
      <c r="K53" s="39"/>
    </row>
    <row r="54" spans="1:13" ht="23.1" customHeight="1">
      <c r="A54" s="67">
        <v>3013160</v>
      </c>
      <c r="B54" s="37" t="s">
        <v>5</v>
      </c>
      <c r="C54" s="395">
        <f>13630</f>
        <v>13630</v>
      </c>
      <c r="D54" s="396"/>
      <c r="E54" s="44"/>
      <c r="F54" s="36" t="s">
        <v>9</v>
      </c>
      <c r="G54" s="37" t="s">
        <v>137</v>
      </c>
      <c r="H54" s="395">
        <v>13630</v>
      </c>
      <c r="I54" s="396"/>
      <c r="J54" s="39"/>
      <c r="K54" s="39"/>
      <c r="L54" s="40"/>
    </row>
    <row r="55" spans="1:13" ht="23.1" customHeight="1">
      <c r="A55" s="87">
        <v>800000</v>
      </c>
      <c r="B55" s="37" t="s">
        <v>5</v>
      </c>
      <c r="C55" s="395">
        <f>67006.31+68657.95</f>
        <v>135664.26</v>
      </c>
      <c r="D55" s="396"/>
      <c r="E55" s="44"/>
      <c r="F55" s="36" t="s">
        <v>10</v>
      </c>
      <c r="G55" s="37" t="s">
        <v>138</v>
      </c>
      <c r="H55" s="395">
        <f>69653.95-996</f>
        <v>68657.95</v>
      </c>
      <c r="I55" s="396"/>
      <c r="J55" s="39"/>
      <c r="K55" s="39"/>
    </row>
    <row r="56" spans="1:13" ht="23.1" customHeight="1">
      <c r="A56" s="87">
        <v>980950</v>
      </c>
      <c r="B56" s="37" t="s">
        <v>5</v>
      </c>
      <c r="C56" s="395">
        <f>49080.1</f>
        <v>49080.1</v>
      </c>
      <c r="D56" s="396"/>
      <c r="E56" s="44"/>
      <c r="F56" s="36" t="s">
        <v>12</v>
      </c>
      <c r="G56" s="37" t="s">
        <v>139</v>
      </c>
      <c r="H56" s="395">
        <v>49080.1</v>
      </c>
      <c r="I56" s="396"/>
      <c r="J56" s="39"/>
      <c r="K56" s="39"/>
    </row>
    <row r="57" spans="1:13" ht="23.1" customHeight="1">
      <c r="A57" s="87">
        <v>4493660</v>
      </c>
      <c r="B57" s="37" t="s">
        <v>5</v>
      </c>
      <c r="C57" s="395">
        <v>0</v>
      </c>
      <c r="D57" s="396"/>
      <c r="E57" s="44"/>
      <c r="F57" s="36" t="s">
        <v>57</v>
      </c>
      <c r="G57" s="37" t="s">
        <v>140</v>
      </c>
      <c r="H57" s="395">
        <v>0</v>
      </c>
      <c r="I57" s="396"/>
      <c r="J57" s="39"/>
      <c r="K57" s="39"/>
    </row>
    <row r="58" spans="1:13" ht="23.1" customHeight="1">
      <c r="A58" s="87">
        <v>25000</v>
      </c>
      <c r="B58" s="37" t="s">
        <v>5</v>
      </c>
      <c r="C58" s="395">
        <v>0</v>
      </c>
      <c r="D58" s="396"/>
      <c r="E58" s="44"/>
      <c r="F58" s="45" t="s">
        <v>67</v>
      </c>
      <c r="G58" s="37" t="s">
        <v>141</v>
      </c>
      <c r="H58" s="395">
        <v>0</v>
      </c>
      <c r="I58" s="396"/>
      <c r="J58" s="39"/>
      <c r="K58" s="39"/>
    </row>
    <row r="59" spans="1:13" ht="23.1" customHeight="1">
      <c r="A59" s="87">
        <v>2807000</v>
      </c>
      <c r="B59" s="37" t="s">
        <v>5</v>
      </c>
      <c r="C59" s="395">
        <v>0</v>
      </c>
      <c r="D59" s="396"/>
      <c r="E59" s="44"/>
      <c r="F59" s="36" t="s">
        <v>11</v>
      </c>
      <c r="G59" s="38">
        <v>561000</v>
      </c>
      <c r="H59" s="395">
        <v>0</v>
      </c>
      <c r="I59" s="396"/>
      <c r="J59" s="39"/>
      <c r="K59" s="39"/>
      <c r="L59" s="40"/>
    </row>
    <row r="60" spans="1:13" ht="18.95" customHeight="1">
      <c r="A60" s="88">
        <f>SUM(A48:A59)</f>
        <v>26210700</v>
      </c>
      <c r="B60" s="63" t="s">
        <v>5</v>
      </c>
      <c r="C60" s="451">
        <f>SUM(C48:C59)</f>
        <v>1555930.36</v>
      </c>
      <c r="D60" s="452"/>
      <c r="E60" s="44"/>
      <c r="F60" s="45"/>
      <c r="G60" s="37"/>
      <c r="H60" s="451">
        <f>SUM(H48:H59)</f>
        <v>926507.04999999993</v>
      </c>
      <c r="I60" s="452"/>
      <c r="J60" s="43"/>
      <c r="K60" s="39"/>
    </row>
    <row r="61" spans="1:13" ht="21" customHeight="1">
      <c r="A61" s="69"/>
      <c r="B61" s="79"/>
      <c r="C61" s="395">
        <v>0</v>
      </c>
      <c r="D61" s="396"/>
      <c r="E61" s="44"/>
      <c r="F61" s="36" t="s">
        <v>77</v>
      </c>
      <c r="G61" s="37" t="s">
        <v>128</v>
      </c>
      <c r="H61" s="395">
        <v>0</v>
      </c>
      <c r="I61" s="396"/>
      <c r="J61" s="43"/>
      <c r="K61" s="39"/>
    </row>
    <row r="62" spans="1:13" ht="23.1" customHeight="1">
      <c r="A62" s="69"/>
      <c r="B62" s="79"/>
      <c r="C62" s="395">
        <f>23058.24+42300</f>
        <v>65358.240000000005</v>
      </c>
      <c r="D62" s="396"/>
      <c r="E62" s="44"/>
      <c r="F62" s="36" t="s">
        <v>66</v>
      </c>
      <c r="G62" s="37" t="s">
        <v>142</v>
      </c>
      <c r="H62" s="395">
        <f>'หมายเหตุ 2'!E12</f>
        <v>42300</v>
      </c>
      <c r="I62" s="396"/>
      <c r="J62" s="43"/>
      <c r="K62" s="39"/>
    </row>
    <row r="63" spans="1:13" ht="20.25" hidden="1">
      <c r="A63" s="85"/>
      <c r="B63" s="79"/>
      <c r="C63" s="395"/>
      <c r="D63" s="396"/>
      <c r="E63" s="44"/>
      <c r="F63" s="45" t="s">
        <v>65</v>
      </c>
      <c r="G63" s="38">
        <v>620</v>
      </c>
      <c r="H63" s="395"/>
      <c r="I63" s="396"/>
      <c r="J63" s="43"/>
      <c r="K63" s="39"/>
    </row>
    <row r="64" spans="1:13" ht="23.1" customHeight="1">
      <c r="A64" s="69"/>
      <c r="B64" s="79"/>
      <c r="C64" s="395">
        <f>5000+498000</f>
        <v>503000</v>
      </c>
      <c r="D64" s="396"/>
      <c r="E64" s="44"/>
      <c r="F64" s="36" t="s">
        <v>408</v>
      </c>
      <c r="G64" s="37" t="s">
        <v>410</v>
      </c>
      <c r="H64" s="395">
        <v>498000</v>
      </c>
      <c r="I64" s="396"/>
      <c r="J64" s="43"/>
      <c r="K64" s="39"/>
    </row>
    <row r="65" spans="1:13" ht="23.1" customHeight="1">
      <c r="A65" s="69"/>
      <c r="B65" s="79"/>
      <c r="C65" s="395">
        <f>600</f>
        <v>600</v>
      </c>
      <c r="D65" s="396"/>
      <c r="E65" s="44"/>
      <c r="F65" s="36" t="s">
        <v>409</v>
      </c>
      <c r="G65" s="37" t="s">
        <v>411</v>
      </c>
      <c r="H65" s="395">
        <v>0</v>
      </c>
      <c r="I65" s="396"/>
      <c r="J65" s="43"/>
      <c r="K65" s="39"/>
    </row>
    <row r="66" spans="1:13" ht="23.1" customHeight="1">
      <c r="A66" s="69"/>
      <c r="B66" s="79"/>
      <c r="C66" s="395">
        <f>11400</f>
        <v>11400</v>
      </c>
      <c r="D66" s="396"/>
      <c r="E66" s="44"/>
      <c r="F66" s="44" t="s">
        <v>190</v>
      </c>
      <c r="G66" s="37" t="s">
        <v>129</v>
      </c>
      <c r="H66" s="395">
        <v>11400</v>
      </c>
      <c r="I66" s="396"/>
      <c r="J66" s="43"/>
      <c r="K66" s="39"/>
    </row>
    <row r="67" spans="1:13" ht="23.1" customHeight="1">
      <c r="A67" s="69"/>
      <c r="B67" s="79"/>
      <c r="C67" s="395">
        <f>105000+1229200</f>
        <v>1334200</v>
      </c>
      <c r="D67" s="396"/>
      <c r="E67" s="45"/>
      <c r="F67" s="45" t="s">
        <v>160</v>
      </c>
      <c r="G67" s="37" t="s">
        <v>170</v>
      </c>
      <c r="H67" s="395">
        <v>1229200</v>
      </c>
      <c r="I67" s="396"/>
      <c r="J67" s="43"/>
      <c r="K67" s="39"/>
    </row>
    <row r="68" spans="1:13" ht="23.1" customHeight="1">
      <c r="A68" s="69"/>
      <c r="B68" s="79"/>
      <c r="C68" s="395">
        <v>0</v>
      </c>
      <c r="D68" s="396"/>
      <c r="E68" s="45"/>
      <c r="F68" s="44"/>
      <c r="G68" s="37"/>
      <c r="H68" s="395">
        <v>0</v>
      </c>
      <c r="I68" s="396"/>
      <c r="J68" s="43"/>
      <c r="K68" s="39"/>
    </row>
    <row r="69" spans="1:13" ht="23.1" customHeight="1">
      <c r="A69" s="69"/>
      <c r="B69" s="79"/>
      <c r="C69" s="395">
        <v>0</v>
      </c>
      <c r="D69" s="396"/>
      <c r="E69" s="45"/>
      <c r="F69" s="44"/>
      <c r="G69" s="37"/>
      <c r="H69" s="395"/>
      <c r="I69" s="396"/>
      <c r="J69" s="43"/>
      <c r="K69" s="39"/>
    </row>
    <row r="70" spans="1:13" ht="23.1" customHeight="1">
      <c r="A70" s="69"/>
      <c r="B70" s="79"/>
      <c r="C70" s="395">
        <v>0</v>
      </c>
      <c r="D70" s="396"/>
      <c r="E70" s="45"/>
      <c r="F70" s="45"/>
      <c r="G70" s="37"/>
      <c r="H70" s="395"/>
      <c r="I70" s="396"/>
      <c r="J70" s="43"/>
      <c r="K70" s="43"/>
    </row>
    <row r="71" spans="1:13" ht="20.25">
      <c r="A71" s="69"/>
      <c r="B71" s="79"/>
      <c r="C71" s="395">
        <v>0</v>
      </c>
      <c r="D71" s="396"/>
      <c r="E71" s="45"/>
      <c r="F71" s="45"/>
      <c r="G71" s="37"/>
      <c r="H71" s="395"/>
      <c r="I71" s="396"/>
      <c r="J71" s="43"/>
      <c r="K71" s="43"/>
    </row>
    <row r="72" spans="1:13" ht="20.25">
      <c r="A72" s="69"/>
      <c r="B72" s="79"/>
      <c r="C72" s="420">
        <v>0</v>
      </c>
      <c r="D72" s="421"/>
      <c r="E72" s="45"/>
      <c r="F72" s="45"/>
      <c r="G72" s="37"/>
      <c r="H72" s="420"/>
      <c r="I72" s="421"/>
      <c r="J72" s="43"/>
      <c r="K72" s="43"/>
    </row>
    <row r="73" spans="1:13" ht="21" customHeight="1">
      <c r="A73" s="69"/>
      <c r="B73" s="78"/>
      <c r="C73" s="451">
        <f>SUM(C61:D72)</f>
        <v>1914558.24</v>
      </c>
      <c r="D73" s="452"/>
      <c r="E73" s="45"/>
      <c r="F73" s="44"/>
      <c r="G73" s="37"/>
      <c r="H73" s="451">
        <f>SUM(H61:I72)</f>
        <v>1780900</v>
      </c>
      <c r="I73" s="452"/>
      <c r="J73" s="43"/>
      <c r="K73" s="43"/>
    </row>
    <row r="74" spans="1:13" ht="17.100000000000001" customHeight="1" thickBot="1">
      <c r="A74" s="69"/>
      <c r="B74" s="78"/>
      <c r="C74" s="422">
        <f>C60+C73</f>
        <v>3470488.6</v>
      </c>
      <c r="D74" s="423"/>
      <c r="E74" s="454" t="s">
        <v>64</v>
      </c>
      <c r="F74" s="454"/>
      <c r="G74" s="37"/>
      <c r="H74" s="422">
        <f>+H60+H73</f>
        <v>2707407.05</v>
      </c>
      <c r="I74" s="423"/>
      <c r="J74" s="43"/>
      <c r="K74" s="43"/>
    </row>
    <row r="75" spans="1:13" ht="17.100000000000001" customHeight="1" thickTop="1">
      <c r="A75" s="69"/>
      <c r="B75" s="78"/>
      <c r="C75" s="395">
        <f>C43-C74</f>
        <v>-671679.78000000026</v>
      </c>
      <c r="D75" s="396"/>
      <c r="E75" s="454" t="s">
        <v>63</v>
      </c>
      <c r="F75" s="454"/>
      <c r="G75" s="37"/>
      <c r="H75" s="395">
        <f>H43-H74</f>
        <v>-1323811.3599999996</v>
      </c>
      <c r="I75" s="396"/>
      <c r="J75" s="43"/>
      <c r="K75" s="43"/>
    </row>
    <row r="76" spans="1:13" ht="17.100000000000001" customHeight="1">
      <c r="A76" s="71"/>
      <c r="B76" s="81"/>
      <c r="C76" s="395"/>
      <c r="D76" s="396"/>
      <c r="E76" s="454" t="s">
        <v>62</v>
      </c>
      <c r="F76" s="454"/>
      <c r="G76" s="37"/>
      <c r="H76" s="385"/>
      <c r="I76" s="386"/>
      <c r="J76" s="43" t="s">
        <v>113</v>
      </c>
      <c r="K76" s="40">
        <v>22526697.539999999</v>
      </c>
    </row>
    <row r="77" spans="1:13" ht="17.100000000000001" customHeight="1">
      <c r="A77" s="71"/>
      <c r="B77" s="81"/>
      <c r="C77" s="395"/>
      <c r="D77" s="396"/>
      <c r="E77" s="454" t="s">
        <v>61</v>
      </c>
      <c r="F77" s="454"/>
      <c r="G77" s="37"/>
      <c r="H77" s="395"/>
      <c r="I77" s="396"/>
      <c r="J77" s="43" t="s">
        <v>15</v>
      </c>
      <c r="K77" s="40">
        <v>0</v>
      </c>
      <c r="L77" s="39">
        <f>SUM(K76:K77)</f>
        <v>22526697.539999999</v>
      </c>
    </row>
    <row r="78" spans="1:13" ht="17.100000000000001" customHeight="1" thickBot="1">
      <c r="A78" s="72"/>
      <c r="B78" s="82"/>
      <c r="C78" s="422">
        <f>C10+C43-C74</f>
        <v>22526697.539999999</v>
      </c>
      <c r="D78" s="423"/>
      <c r="E78" s="449" t="s">
        <v>60</v>
      </c>
      <c r="F78" s="450"/>
      <c r="G78" s="46"/>
      <c r="H78" s="422">
        <f>H10+H43-H74</f>
        <v>22526697.539999999</v>
      </c>
      <c r="I78" s="423"/>
      <c r="J78" s="100" t="s">
        <v>174</v>
      </c>
      <c r="K78" s="101">
        <f>C78-H78</f>
        <v>0</v>
      </c>
      <c r="L78" s="40"/>
      <c r="M78" s="40">
        <f>L77-H78</f>
        <v>0</v>
      </c>
    </row>
    <row r="79" spans="1:13" ht="10.5" customHeight="1" thickTop="1">
      <c r="A79" s="72"/>
      <c r="B79" s="82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6" customFormat="1" ht="15.95" customHeight="1">
      <c r="A80" s="92"/>
      <c r="C80" s="65"/>
      <c r="E80" s="64"/>
      <c r="F80" s="64"/>
    </row>
    <row r="81" spans="1:8" s="66" customFormat="1" ht="21.75" customHeight="1">
      <c r="A81" s="65" t="s">
        <v>175</v>
      </c>
      <c r="D81" s="65" t="s">
        <v>168</v>
      </c>
      <c r="F81" s="64"/>
      <c r="G81" s="363" t="s">
        <v>378</v>
      </c>
      <c r="H81" s="93"/>
    </row>
    <row r="82" spans="1:8" s="66" customFormat="1" ht="18" customHeight="1">
      <c r="A82" s="453" t="s">
        <v>59</v>
      </c>
      <c r="B82" s="453"/>
      <c r="C82" s="65" t="s">
        <v>162</v>
      </c>
      <c r="E82" s="91"/>
      <c r="F82" s="91"/>
      <c r="G82" s="363" t="s">
        <v>58</v>
      </c>
    </row>
    <row r="83" spans="1:8" s="66" customFormat="1" ht="11.25" customHeight="1">
      <c r="E83" s="64"/>
      <c r="F83" s="64"/>
      <c r="G83" s="351"/>
    </row>
  </sheetData>
  <mergeCells count="173"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  <mergeCell ref="C73:D73"/>
    <mergeCell ref="H73:I73"/>
    <mergeCell ref="C70:D70"/>
    <mergeCell ref="H70:I70"/>
    <mergeCell ref="C71:D71"/>
    <mergeCell ref="H71:I71"/>
    <mergeCell ref="C60:D60"/>
    <mergeCell ref="H60:I60"/>
    <mergeCell ref="C61:D61"/>
    <mergeCell ref="H61:I61"/>
    <mergeCell ref="C62:D62"/>
    <mergeCell ref="H62:I62"/>
    <mergeCell ref="C67:D67"/>
    <mergeCell ref="H67:I67"/>
    <mergeCell ref="C68:D68"/>
    <mergeCell ref="H68:I68"/>
    <mergeCell ref="C69:D69"/>
    <mergeCell ref="H69:I69"/>
    <mergeCell ref="C63:D63"/>
    <mergeCell ref="H63:I63"/>
    <mergeCell ref="C64:D64"/>
    <mergeCell ref="H64:I64"/>
    <mergeCell ref="C65:D65"/>
    <mergeCell ref="H65:I65"/>
    <mergeCell ref="C66:D66"/>
    <mergeCell ref="H66:I66"/>
    <mergeCell ref="C57:D57"/>
    <mergeCell ref="H57:I57"/>
    <mergeCell ref="C58:D58"/>
    <mergeCell ref="H58:I58"/>
    <mergeCell ref="C59:D59"/>
    <mergeCell ref="H59:I59"/>
    <mergeCell ref="C54:D54"/>
    <mergeCell ref="H54:I54"/>
    <mergeCell ref="C55:D55"/>
    <mergeCell ref="H55:I55"/>
    <mergeCell ref="C56:D56"/>
    <mergeCell ref="H56:I56"/>
    <mergeCell ref="C50:D50"/>
    <mergeCell ref="H50:I50"/>
    <mergeCell ref="C52:D52"/>
    <mergeCell ref="H52:I52"/>
    <mergeCell ref="C53:D53"/>
    <mergeCell ref="H53:I53"/>
    <mergeCell ref="H47:I47"/>
    <mergeCell ref="C48:D48"/>
    <mergeCell ref="H48:I48"/>
    <mergeCell ref="C49:D49"/>
    <mergeCell ref="H49:I49"/>
    <mergeCell ref="H51:I51"/>
    <mergeCell ref="C51:D51"/>
    <mergeCell ref="L49:M49"/>
    <mergeCell ref="A44:D44"/>
    <mergeCell ref="E44:F46"/>
    <mergeCell ref="G44:G46"/>
    <mergeCell ref="H44:I44"/>
    <mergeCell ref="A45:B45"/>
    <mergeCell ref="C45:D45"/>
    <mergeCell ref="H45:I45"/>
    <mergeCell ref="A46:B46"/>
    <mergeCell ref="C46:D46"/>
    <mergeCell ref="H46:I46"/>
    <mergeCell ref="C41:D41"/>
    <mergeCell ref="H41:I41"/>
    <mergeCell ref="C42:D42"/>
    <mergeCell ref="E42:F42"/>
    <mergeCell ref="H42:I42"/>
    <mergeCell ref="C43:D43"/>
    <mergeCell ref="E43:F43"/>
    <mergeCell ref="H43:I43"/>
    <mergeCell ref="C38:D38"/>
    <mergeCell ref="E38:F38"/>
    <mergeCell ref="H38:I38"/>
    <mergeCell ref="C39:D39"/>
    <mergeCell ref="H39:I39"/>
    <mergeCell ref="C40:D40"/>
    <mergeCell ref="H40:I40"/>
    <mergeCell ref="C36:D36"/>
    <mergeCell ref="E36:F36"/>
    <mergeCell ref="H36:I36"/>
    <mergeCell ref="C37:D37"/>
    <mergeCell ref="E37:F37"/>
    <mergeCell ref="H37:I37"/>
    <mergeCell ref="C30:D30"/>
    <mergeCell ref="H30:I30"/>
    <mergeCell ref="C31:D31"/>
    <mergeCell ref="H31:I31"/>
    <mergeCell ref="C33:D33"/>
    <mergeCell ref="H33:I33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26" header="0.51181102362204722" footer="0.3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topLeftCell="A40" workbookViewId="0">
      <selection activeCell="H50" sqref="H50"/>
    </sheetView>
  </sheetViews>
  <sheetFormatPr defaultRowHeight="12.75"/>
  <cols>
    <col min="2" max="2" width="10.7109375" customWidth="1"/>
    <col min="5" max="5" width="17.140625" customWidth="1"/>
    <col min="7" max="7" width="10.28515625" customWidth="1"/>
    <col min="8" max="8" width="7.28515625" customWidth="1"/>
    <col min="10" max="10" width="13" customWidth="1"/>
    <col min="12" max="12" width="14" bestFit="1" customWidth="1"/>
  </cols>
  <sheetData>
    <row r="1" spans="1:12" ht="21">
      <c r="A1" s="470" t="s">
        <v>0</v>
      </c>
      <c r="B1" s="470"/>
      <c r="C1" s="470"/>
      <c r="D1" s="470"/>
      <c r="E1" s="470"/>
      <c r="F1" s="470"/>
      <c r="G1" s="470"/>
      <c r="H1" s="470"/>
      <c r="I1" s="470"/>
      <c r="J1" s="470"/>
    </row>
    <row r="2" spans="1:12" ht="21">
      <c r="A2" s="470" t="s">
        <v>412</v>
      </c>
      <c r="B2" s="470"/>
      <c r="C2" s="470"/>
      <c r="D2" s="470"/>
      <c r="E2" s="470"/>
      <c r="F2" s="470"/>
      <c r="G2" s="470"/>
      <c r="H2" s="470"/>
      <c r="I2" s="470"/>
      <c r="J2" s="470"/>
    </row>
    <row r="3" spans="1:12" ht="21">
      <c r="A3" s="471" t="s">
        <v>416</v>
      </c>
      <c r="B3" s="471"/>
      <c r="C3" s="471"/>
      <c r="D3" s="471"/>
      <c r="E3" s="471"/>
      <c r="F3" s="471"/>
      <c r="G3" s="471"/>
      <c r="H3" s="471"/>
      <c r="I3" s="471"/>
      <c r="J3" s="471"/>
    </row>
    <row r="4" spans="1:12" ht="21">
      <c r="A4" s="472" t="s">
        <v>1</v>
      </c>
      <c r="B4" s="473"/>
      <c r="C4" s="473"/>
      <c r="D4" s="473"/>
      <c r="E4" s="474"/>
      <c r="F4" s="56" t="s">
        <v>2</v>
      </c>
      <c r="G4" s="475" t="s">
        <v>3</v>
      </c>
      <c r="H4" s="476"/>
      <c r="I4" s="475" t="s">
        <v>4</v>
      </c>
      <c r="J4" s="476"/>
    </row>
    <row r="5" spans="1:12" ht="21.75">
      <c r="A5" s="462" t="s">
        <v>15</v>
      </c>
      <c r="B5" s="463"/>
      <c r="C5" s="463"/>
      <c r="D5" s="463"/>
      <c r="E5" s="464"/>
      <c r="F5" s="94" t="s">
        <v>145</v>
      </c>
      <c r="G5" s="465">
        <v>0</v>
      </c>
      <c r="H5" s="465"/>
      <c r="I5" s="466"/>
      <c r="J5" s="466"/>
    </row>
    <row r="6" spans="1:12" ht="21.75">
      <c r="A6" s="457" t="s">
        <v>177</v>
      </c>
      <c r="B6" s="458"/>
      <c r="C6" s="458"/>
      <c r="D6" s="458"/>
      <c r="E6" s="459"/>
      <c r="F6" s="94" t="s">
        <v>146</v>
      </c>
      <c r="G6" s="467">
        <v>1291122.8400000001</v>
      </c>
      <c r="H6" s="468"/>
      <c r="I6" s="467"/>
      <c r="J6" s="468"/>
    </row>
    <row r="7" spans="1:12" ht="21.75">
      <c r="A7" s="457" t="s">
        <v>178</v>
      </c>
      <c r="B7" s="458"/>
      <c r="C7" s="458"/>
      <c r="D7" s="458"/>
      <c r="E7" s="459"/>
      <c r="F7" s="94"/>
      <c r="G7" s="460">
        <v>784341.09</v>
      </c>
      <c r="H7" s="461"/>
      <c r="I7" s="460"/>
      <c r="J7" s="461"/>
    </row>
    <row r="8" spans="1:12" ht="21.75">
      <c r="A8" s="457" t="s">
        <v>179</v>
      </c>
      <c r="B8" s="458"/>
      <c r="C8" s="458"/>
      <c r="D8" s="458"/>
      <c r="E8" s="459"/>
      <c r="F8" s="94"/>
      <c r="G8" s="460">
        <v>9031084.3399999999</v>
      </c>
      <c r="H8" s="461"/>
      <c r="I8" s="460"/>
      <c r="J8" s="461"/>
    </row>
    <row r="9" spans="1:12" ht="21.75">
      <c r="A9" s="462" t="s">
        <v>180</v>
      </c>
      <c r="B9" s="463"/>
      <c r="C9" s="463"/>
      <c r="D9" s="463"/>
      <c r="E9" s="464"/>
      <c r="F9" s="94" t="s">
        <v>147</v>
      </c>
      <c r="G9" s="460">
        <f>8788001.11-195031.41</f>
        <v>8592969.6999999993</v>
      </c>
      <c r="H9" s="461"/>
      <c r="I9" s="460"/>
      <c r="J9" s="461"/>
    </row>
    <row r="10" spans="1:12" ht="21.75">
      <c r="A10" s="462" t="s">
        <v>181</v>
      </c>
      <c r="B10" s="463"/>
      <c r="C10" s="463"/>
      <c r="D10" s="463"/>
      <c r="E10" s="464"/>
      <c r="F10" s="94"/>
      <c r="G10" s="460">
        <v>771654.07</v>
      </c>
      <c r="H10" s="461"/>
      <c r="I10" s="460"/>
      <c r="J10" s="461"/>
    </row>
    <row r="11" spans="1:12" ht="21.75">
      <c r="A11" s="119" t="s">
        <v>186</v>
      </c>
      <c r="B11" s="120"/>
      <c r="C11" s="120"/>
      <c r="D11" s="120"/>
      <c r="E11" s="121"/>
      <c r="F11" s="94"/>
      <c r="G11" s="455">
        <v>2055525.5</v>
      </c>
      <c r="H11" s="456"/>
      <c r="I11" s="116"/>
      <c r="J11" s="117"/>
      <c r="L11" s="112">
        <f>SUM(G6:H11)</f>
        <v>22526697.539999999</v>
      </c>
    </row>
    <row r="12" spans="1:12" ht="21.75">
      <c r="A12" s="462" t="s">
        <v>22</v>
      </c>
      <c r="B12" s="463"/>
      <c r="C12" s="463"/>
      <c r="D12" s="463"/>
      <c r="E12" s="464"/>
      <c r="F12" s="94" t="s">
        <v>148</v>
      </c>
      <c r="G12" s="455">
        <f>110760-858.85-1965.12</f>
        <v>107936.03</v>
      </c>
      <c r="H12" s="456"/>
      <c r="I12" s="455"/>
      <c r="J12" s="456"/>
    </row>
    <row r="13" spans="1:12" ht="21.75">
      <c r="A13" s="477" t="s">
        <v>382</v>
      </c>
      <c r="B13" s="478"/>
      <c r="C13" s="478"/>
      <c r="D13" s="478"/>
      <c r="E13" s="479"/>
      <c r="F13" s="94" t="s">
        <v>149</v>
      </c>
      <c r="G13" s="460">
        <f>108145-4390-6895</f>
        <v>96860</v>
      </c>
      <c r="H13" s="461"/>
      <c r="I13" s="460"/>
      <c r="J13" s="461"/>
    </row>
    <row r="14" spans="1:12" ht="21.75">
      <c r="A14" s="469" t="s">
        <v>13</v>
      </c>
      <c r="B14" s="469"/>
      <c r="C14" s="469"/>
      <c r="D14" s="469"/>
      <c r="E14" s="469"/>
      <c r="F14" s="94" t="s">
        <v>129</v>
      </c>
      <c r="G14" s="460">
        <v>11400</v>
      </c>
      <c r="H14" s="461"/>
      <c r="I14" s="460"/>
      <c r="J14" s="461"/>
    </row>
    <row r="15" spans="1:12" ht="21.75">
      <c r="A15" s="469" t="s">
        <v>191</v>
      </c>
      <c r="B15" s="469"/>
      <c r="C15" s="469"/>
      <c r="D15" s="469"/>
      <c r="E15" s="469"/>
      <c r="F15" s="94" t="s">
        <v>170</v>
      </c>
      <c r="G15" s="455">
        <f>105000+1229200</f>
        <v>1334200</v>
      </c>
      <c r="H15" s="456"/>
      <c r="I15" s="123"/>
      <c r="J15" s="124"/>
    </row>
    <row r="16" spans="1:12" ht="21.75">
      <c r="A16" s="469" t="s">
        <v>155</v>
      </c>
      <c r="B16" s="469"/>
      <c r="C16" s="469"/>
      <c r="D16" s="469"/>
      <c r="E16" s="469"/>
      <c r="F16" s="94"/>
      <c r="G16" s="460">
        <f>113000-16000-21000</f>
        <v>76000</v>
      </c>
      <c r="H16" s="461"/>
      <c r="I16" s="116"/>
      <c r="J16" s="117"/>
    </row>
    <row r="17" spans="1:10" ht="21.75">
      <c r="A17" s="462" t="s">
        <v>6</v>
      </c>
      <c r="B17" s="463"/>
      <c r="C17" s="463"/>
      <c r="D17" s="463"/>
      <c r="E17" s="464"/>
      <c r="F17" s="94" t="s">
        <v>193</v>
      </c>
      <c r="G17" s="455">
        <v>79864</v>
      </c>
      <c r="H17" s="456"/>
      <c r="I17" s="123"/>
      <c r="J17" s="124"/>
    </row>
    <row r="18" spans="1:10" ht="21.75">
      <c r="A18" s="462" t="s">
        <v>131</v>
      </c>
      <c r="B18" s="463"/>
      <c r="C18" s="463"/>
      <c r="D18" s="463"/>
      <c r="E18" s="464"/>
      <c r="F18" s="94" t="s">
        <v>133</v>
      </c>
      <c r="G18" s="455">
        <v>342120</v>
      </c>
      <c r="H18" s="456"/>
      <c r="I18" s="123"/>
      <c r="J18" s="124"/>
    </row>
    <row r="19" spans="1:10" ht="21.75">
      <c r="A19" s="462" t="s">
        <v>132</v>
      </c>
      <c r="B19" s="463"/>
      <c r="C19" s="463"/>
      <c r="D19" s="463"/>
      <c r="E19" s="464"/>
      <c r="F19" s="94" t="s">
        <v>134</v>
      </c>
      <c r="G19" s="455">
        <v>544520</v>
      </c>
      <c r="H19" s="456"/>
      <c r="I19" s="123"/>
      <c r="J19" s="124"/>
    </row>
    <row r="20" spans="1:10" ht="21.75">
      <c r="A20" s="462" t="s">
        <v>196</v>
      </c>
      <c r="B20" s="463"/>
      <c r="C20" s="463"/>
      <c r="D20" s="463"/>
      <c r="E20" s="464"/>
      <c r="F20" s="94" t="s">
        <v>134</v>
      </c>
      <c r="G20" s="455">
        <v>201600</v>
      </c>
      <c r="H20" s="456"/>
      <c r="I20" s="123"/>
      <c r="J20" s="124"/>
    </row>
    <row r="21" spans="1:10" ht="21.75">
      <c r="A21" s="462" t="s">
        <v>7</v>
      </c>
      <c r="B21" s="463"/>
      <c r="C21" s="463"/>
      <c r="D21" s="463"/>
      <c r="E21" s="464"/>
      <c r="F21" s="94" t="s">
        <v>135</v>
      </c>
      <c r="G21" s="455">
        <v>37553</v>
      </c>
      <c r="H21" s="456"/>
      <c r="I21" s="123"/>
      <c r="J21" s="124"/>
    </row>
    <row r="22" spans="1:10" ht="21.75">
      <c r="A22" s="462" t="s">
        <v>8</v>
      </c>
      <c r="B22" s="463"/>
      <c r="C22" s="463"/>
      <c r="D22" s="463"/>
      <c r="E22" s="464"/>
      <c r="F22" s="94" t="s">
        <v>136</v>
      </c>
      <c r="G22" s="455">
        <v>151899</v>
      </c>
      <c r="H22" s="456"/>
      <c r="I22" s="123"/>
      <c r="J22" s="124"/>
    </row>
    <row r="23" spans="1:10" ht="21.75">
      <c r="A23" s="462" t="s">
        <v>9</v>
      </c>
      <c r="B23" s="463"/>
      <c r="C23" s="463"/>
      <c r="D23" s="463"/>
      <c r="E23" s="464"/>
      <c r="F23" s="94" t="s">
        <v>137</v>
      </c>
      <c r="G23" s="455">
        <v>13630</v>
      </c>
      <c r="H23" s="456"/>
      <c r="I23" s="123"/>
      <c r="J23" s="124"/>
    </row>
    <row r="24" spans="1:10" ht="21.75">
      <c r="A24" s="462" t="s">
        <v>10</v>
      </c>
      <c r="B24" s="463"/>
      <c r="C24" s="463"/>
      <c r="D24" s="463"/>
      <c r="E24" s="464"/>
      <c r="F24" s="94" t="s">
        <v>138</v>
      </c>
      <c r="G24" s="455">
        <v>135664.26</v>
      </c>
      <c r="H24" s="456"/>
      <c r="I24" s="123"/>
      <c r="J24" s="124"/>
    </row>
    <row r="25" spans="1:10" ht="21.75">
      <c r="A25" s="462" t="s">
        <v>12</v>
      </c>
      <c r="B25" s="463"/>
      <c r="C25" s="463"/>
      <c r="D25" s="463"/>
      <c r="E25" s="464"/>
      <c r="F25" s="94" t="s">
        <v>139</v>
      </c>
      <c r="G25" s="455">
        <v>49080.1</v>
      </c>
      <c r="H25" s="456"/>
      <c r="I25" s="123"/>
      <c r="J25" s="124"/>
    </row>
    <row r="26" spans="1:10" ht="21.75">
      <c r="A26" s="462" t="s">
        <v>57</v>
      </c>
      <c r="B26" s="463"/>
      <c r="C26" s="463"/>
      <c r="D26" s="463"/>
      <c r="E26" s="464"/>
      <c r="F26" s="94" t="s">
        <v>194</v>
      </c>
      <c r="G26" s="455">
        <v>0</v>
      </c>
      <c r="H26" s="456"/>
      <c r="I26" s="123"/>
      <c r="J26" s="124"/>
    </row>
    <row r="27" spans="1:10" ht="21.75">
      <c r="A27" s="477" t="s">
        <v>192</v>
      </c>
      <c r="B27" s="478"/>
      <c r="C27" s="478"/>
      <c r="D27" s="478"/>
      <c r="E27" s="479"/>
      <c r="F27" s="94" t="s">
        <v>141</v>
      </c>
      <c r="G27" s="455">
        <v>0</v>
      </c>
      <c r="H27" s="456"/>
      <c r="I27" s="123"/>
      <c r="J27" s="124"/>
    </row>
    <row r="28" spans="1:10" ht="21.75">
      <c r="A28" s="462" t="s">
        <v>11</v>
      </c>
      <c r="B28" s="463"/>
      <c r="C28" s="463"/>
      <c r="D28" s="463"/>
      <c r="E28" s="464"/>
      <c r="F28" s="94" t="s">
        <v>195</v>
      </c>
      <c r="G28" s="455">
        <v>0</v>
      </c>
      <c r="H28" s="456"/>
      <c r="I28" s="123"/>
      <c r="J28" s="124"/>
    </row>
    <row r="29" spans="1:10" ht="21.75">
      <c r="A29" s="462" t="s">
        <v>77</v>
      </c>
      <c r="B29" s="463"/>
      <c r="C29" s="463"/>
      <c r="D29" s="463"/>
      <c r="E29" s="464"/>
      <c r="F29" s="94"/>
      <c r="G29" s="455">
        <v>0</v>
      </c>
      <c r="H29" s="456"/>
      <c r="I29" s="123"/>
      <c r="J29" s="124"/>
    </row>
    <row r="30" spans="1:10" ht="21.75">
      <c r="A30" s="462" t="s">
        <v>417</v>
      </c>
      <c r="B30" s="463"/>
      <c r="C30" s="463"/>
      <c r="D30" s="463"/>
      <c r="E30" s="464"/>
      <c r="F30" s="94"/>
      <c r="G30" s="382"/>
      <c r="H30" s="383"/>
      <c r="I30" s="455">
        <v>2000</v>
      </c>
      <c r="J30" s="456"/>
    </row>
    <row r="31" spans="1:10" ht="21.75">
      <c r="A31" s="462" t="s">
        <v>14</v>
      </c>
      <c r="B31" s="463"/>
      <c r="C31" s="463"/>
      <c r="D31" s="463"/>
      <c r="E31" s="464"/>
      <c r="F31" s="94" t="s">
        <v>144</v>
      </c>
      <c r="G31" s="460"/>
      <c r="H31" s="461"/>
      <c r="I31" s="460">
        <f>12015235.92+300+130065.07+450</f>
        <v>12146050.99</v>
      </c>
      <c r="J31" s="461"/>
    </row>
    <row r="32" spans="1:10" ht="21.75">
      <c r="A32" s="462" t="s">
        <v>16</v>
      </c>
      <c r="B32" s="463"/>
      <c r="C32" s="463"/>
      <c r="D32" s="463"/>
      <c r="E32" s="464"/>
      <c r="F32" s="94" t="s">
        <v>150</v>
      </c>
      <c r="G32" s="460"/>
      <c r="H32" s="461"/>
      <c r="I32" s="460">
        <f>8760466.84</f>
        <v>8760466.8399999999</v>
      </c>
      <c r="J32" s="461"/>
    </row>
    <row r="33" spans="1:12" ht="21.75">
      <c r="A33" s="378" t="s">
        <v>408</v>
      </c>
      <c r="B33" s="114"/>
      <c r="C33" s="114"/>
      <c r="D33" s="114"/>
      <c r="E33" s="115"/>
      <c r="F33" s="94" t="s">
        <v>410</v>
      </c>
      <c r="G33" s="455"/>
      <c r="H33" s="456"/>
      <c r="I33" s="455">
        <f>503000-5000-498000</f>
        <v>0</v>
      </c>
      <c r="J33" s="456"/>
    </row>
    <row r="34" spans="1:12" ht="21.75">
      <c r="A34" s="378" t="s">
        <v>396</v>
      </c>
      <c r="B34" s="114"/>
      <c r="C34" s="114"/>
      <c r="D34" s="114"/>
      <c r="E34" s="115"/>
      <c r="F34" s="94" t="s">
        <v>143</v>
      </c>
      <c r="G34" s="455"/>
      <c r="H34" s="456"/>
      <c r="I34" s="455">
        <v>5</v>
      </c>
      <c r="J34" s="456"/>
    </row>
    <row r="35" spans="1:12" ht="21.75">
      <c r="A35" s="378" t="s">
        <v>409</v>
      </c>
      <c r="B35" s="114"/>
      <c r="C35" s="114"/>
      <c r="D35" s="114"/>
      <c r="E35" s="115"/>
      <c r="F35" s="94" t="s">
        <v>411</v>
      </c>
      <c r="G35" s="455"/>
      <c r="H35" s="456"/>
      <c r="I35" s="455">
        <v>980000</v>
      </c>
      <c r="J35" s="456"/>
    </row>
    <row r="36" spans="1:12" ht="21.75">
      <c r="A36" s="462" t="s">
        <v>381</v>
      </c>
      <c r="B36" s="463"/>
      <c r="C36" s="463"/>
      <c r="D36" s="463"/>
      <c r="E36" s="464"/>
      <c r="F36" s="94"/>
      <c r="G36" s="460"/>
      <c r="H36" s="461"/>
      <c r="I36" s="460">
        <v>847654.07</v>
      </c>
      <c r="J36" s="461"/>
    </row>
    <row r="37" spans="1:12" ht="21.75">
      <c r="A37" s="462" t="s">
        <v>285</v>
      </c>
      <c r="B37" s="463"/>
      <c r="C37" s="463"/>
      <c r="D37" s="463"/>
      <c r="E37" s="464"/>
      <c r="F37" s="94" t="s">
        <v>197</v>
      </c>
      <c r="G37" s="123"/>
      <c r="H37" s="124"/>
      <c r="I37" s="455">
        <f>1245446.26+1365525.15</f>
        <v>2610971.41</v>
      </c>
      <c r="J37" s="456"/>
    </row>
    <row r="38" spans="1:12" ht="21.75">
      <c r="A38" s="462" t="s">
        <v>17</v>
      </c>
      <c r="B38" s="463"/>
      <c r="C38" s="463" t="s">
        <v>18</v>
      </c>
      <c r="D38" s="463"/>
      <c r="E38" s="464"/>
      <c r="F38" s="94" t="s">
        <v>151</v>
      </c>
      <c r="G38" s="460"/>
      <c r="H38" s="461"/>
      <c r="I38" s="460">
        <v>6230.77</v>
      </c>
      <c r="J38" s="461"/>
    </row>
    <row r="39" spans="1:12" ht="21.75">
      <c r="A39" s="462"/>
      <c r="B39" s="463"/>
      <c r="C39" s="463" t="s">
        <v>19</v>
      </c>
      <c r="D39" s="463"/>
      <c r="E39" s="464"/>
      <c r="F39" s="94" t="s">
        <v>152</v>
      </c>
      <c r="G39" s="460"/>
      <c r="H39" s="461"/>
      <c r="I39" s="460">
        <v>332640</v>
      </c>
      <c r="J39" s="461"/>
    </row>
    <row r="40" spans="1:12" ht="21.75">
      <c r="A40" s="462"/>
      <c r="B40" s="463"/>
      <c r="C40" s="463" t="s">
        <v>20</v>
      </c>
      <c r="D40" s="463"/>
      <c r="E40" s="464"/>
      <c r="F40" s="94" t="s">
        <v>154</v>
      </c>
      <c r="G40" s="460"/>
      <c r="H40" s="461"/>
      <c r="I40" s="480">
        <v>10456.75</v>
      </c>
      <c r="J40" s="481"/>
    </row>
    <row r="41" spans="1:12" ht="21.75">
      <c r="A41" s="113"/>
      <c r="B41" s="114"/>
      <c r="C41" s="463" t="s">
        <v>21</v>
      </c>
      <c r="D41" s="463"/>
      <c r="E41" s="464"/>
      <c r="F41" s="94" t="s">
        <v>153</v>
      </c>
      <c r="G41" s="460"/>
      <c r="H41" s="461"/>
      <c r="I41" s="460">
        <v>12548.1</v>
      </c>
      <c r="J41" s="461"/>
    </row>
    <row r="42" spans="1:12" ht="22.5" thickBot="1">
      <c r="A42" s="95"/>
      <c r="B42" s="95"/>
      <c r="C42" s="95"/>
      <c r="D42" s="95"/>
      <c r="E42" s="95"/>
      <c r="F42" s="96"/>
      <c r="G42" s="482">
        <f>SUM(G5:H41)</f>
        <v>25709023.930000003</v>
      </c>
      <c r="H42" s="483"/>
      <c r="I42" s="482">
        <f>SUM(I30:J41)</f>
        <v>25709023.93</v>
      </c>
      <c r="J42" s="483"/>
      <c r="L42" s="112">
        <f>G42-I42</f>
        <v>0</v>
      </c>
    </row>
    <row r="43" spans="1:12" ht="26.25" customHeight="1" thickTop="1">
      <c r="A43" s="66"/>
      <c r="B43" s="66"/>
      <c r="C43" s="66"/>
      <c r="D43" s="66"/>
      <c r="E43" s="66"/>
      <c r="F43" s="66"/>
      <c r="G43" s="66"/>
      <c r="H43" s="66"/>
      <c r="I43" s="66"/>
      <c r="J43" s="66"/>
    </row>
    <row r="44" spans="1:12" ht="21.75">
      <c r="A44" s="65" t="s">
        <v>171</v>
      </c>
      <c r="B44" s="66"/>
      <c r="C44" s="66"/>
      <c r="D44" s="65" t="s">
        <v>169</v>
      </c>
      <c r="E44" s="66"/>
      <c r="F44" s="118"/>
      <c r="G44" s="66"/>
      <c r="H44" s="93"/>
      <c r="I44" s="364" t="s">
        <v>378</v>
      </c>
      <c r="J44" s="66"/>
    </row>
    <row r="45" spans="1:12" ht="21.75">
      <c r="A45" s="453" t="s">
        <v>394</v>
      </c>
      <c r="B45" s="453"/>
      <c r="C45" s="65"/>
      <c r="D45" s="65" t="s">
        <v>161</v>
      </c>
      <c r="E45" s="91"/>
      <c r="F45" s="91"/>
      <c r="G45" s="66"/>
      <c r="H45" s="66"/>
      <c r="I45" s="364" t="s">
        <v>58</v>
      </c>
      <c r="J45" s="66"/>
    </row>
    <row r="46" spans="1:12" ht="21.75">
      <c r="A46" s="57"/>
      <c r="B46" s="57"/>
      <c r="C46" s="57"/>
      <c r="D46" s="57"/>
      <c r="E46" s="57"/>
      <c r="F46" s="57"/>
      <c r="G46" s="57"/>
      <c r="H46" s="57"/>
      <c r="I46" s="351"/>
      <c r="J46" s="57"/>
    </row>
  </sheetData>
  <mergeCells count="101">
    <mergeCell ref="A45:B45"/>
    <mergeCell ref="C41:E41"/>
    <mergeCell ref="G41:H41"/>
    <mergeCell ref="I41:J41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A26:E26"/>
    <mergeCell ref="A27:E27"/>
    <mergeCell ref="A28:E28"/>
    <mergeCell ref="A29:E29"/>
    <mergeCell ref="G21:H21"/>
    <mergeCell ref="G22:H22"/>
    <mergeCell ref="G23:H23"/>
    <mergeCell ref="G24:H24"/>
    <mergeCell ref="A39:B39"/>
    <mergeCell ref="C39:E39"/>
    <mergeCell ref="G39:H39"/>
    <mergeCell ref="I39:J39"/>
    <mergeCell ref="A40:B40"/>
    <mergeCell ref="C40:E40"/>
    <mergeCell ref="G40:H40"/>
    <mergeCell ref="I40:J40"/>
    <mergeCell ref="G42:H42"/>
    <mergeCell ref="I42:J42"/>
    <mergeCell ref="A36:E36"/>
    <mergeCell ref="G36:H36"/>
    <mergeCell ref="I36:J36"/>
    <mergeCell ref="A38:B38"/>
    <mergeCell ref="C38:E38"/>
    <mergeCell ref="G38:H38"/>
    <mergeCell ref="I38:J38"/>
    <mergeCell ref="A37:E37"/>
    <mergeCell ref="I37:J37"/>
    <mergeCell ref="I32:J32"/>
    <mergeCell ref="A31:E31"/>
    <mergeCell ref="G31:H31"/>
    <mergeCell ref="I31:J31"/>
    <mergeCell ref="G33:H33"/>
    <mergeCell ref="I33:J33"/>
    <mergeCell ref="G34:H34"/>
    <mergeCell ref="I34:J34"/>
    <mergeCell ref="G35:H35"/>
    <mergeCell ref="I35:J35"/>
    <mergeCell ref="G15:H15"/>
    <mergeCell ref="G11:H11"/>
    <mergeCell ref="A12:E12"/>
    <mergeCell ref="G12:H12"/>
    <mergeCell ref="A13:E13"/>
    <mergeCell ref="G13:H13"/>
    <mergeCell ref="A32:E32"/>
    <mergeCell ref="G32:H32"/>
    <mergeCell ref="G20:H20"/>
    <mergeCell ref="G25:H25"/>
    <mergeCell ref="G26:H26"/>
    <mergeCell ref="G27:H27"/>
    <mergeCell ref="G28:H28"/>
    <mergeCell ref="G29:H29"/>
    <mergeCell ref="A30:E30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I30:J30"/>
    <mergeCell ref="A7:E7"/>
    <mergeCell ref="G7:H7"/>
    <mergeCell ref="I7:J7"/>
    <mergeCell ref="A5:E5"/>
    <mergeCell ref="G5:H5"/>
    <mergeCell ref="I5:J5"/>
    <mergeCell ref="A6:E6"/>
    <mergeCell ref="G6:H6"/>
    <mergeCell ref="I6:J6"/>
    <mergeCell ref="A9:E9"/>
    <mergeCell ref="G9:H9"/>
    <mergeCell ref="I9:J9"/>
    <mergeCell ref="A10:E10"/>
    <mergeCell ref="G10:H10"/>
    <mergeCell ref="I10:J10"/>
    <mergeCell ref="A14:E14"/>
    <mergeCell ref="G14:H14"/>
    <mergeCell ref="I14:J14"/>
    <mergeCell ref="I12:J12"/>
    <mergeCell ref="I13:J13"/>
    <mergeCell ref="A16:E16"/>
    <mergeCell ref="G16:H16"/>
    <mergeCell ref="A15:E15"/>
  </mergeCells>
  <pageMargins left="0.65" right="0.70866141732283472" top="0.16" bottom="0.15748031496062992" header="0.19685039370078741" footer="0.15748031496062992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selection activeCell="A3" sqref="A3"/>
    </sheetView>
  </sheetViews>
  <sheetFormatPr defaultRowHeight="23.25"/>
  <cols>
    <col min="1" max="1" width="25.42578125" style="99" customWidth="1"/>
    <col min="2" max="2" width="8.85546875" style="99" bestFit="1" customWidth="1"/>
    <col min="3" max="3" width="13.7109375" style="99" customWidth="1"/>
    <col min="4" max="4" width="12.7109375" style="99" customWidth="1"/>
    <col min="5" max="5" width="12.7109375" style="99" bestFit="1" customWidth="1"/>
    <col min="6" max="6" width="14.5703125" style="99" customWidth="1"/>
    <col min="7" max="16384" width="9.140625" style="99"/>
  </cols>
  <sheetData>
    <row r="1" spans="1:6">
      <c r="A1" s="484" t="s">
        <v>172</v>
      </c>
      <c r="B1" s="484"/>
      <c r="C1" s="484"/>
      <c r="D1" s="484"/>
      <c r="E1" s="484"/>
      <c r="F1" s="484"/>
    </row>
    <row r="2" spans="1:6">
      <c r="A2" s="484" t="s">
        <v>415</v>
      </c>
      <c r="B2" s="484"/>
      <c r="C2" s="484"/>
      <c r="D2" s="484"/>
      <c r="E2" s="484"/>
      <c r="F2" s="484"/>
    </row>
    <row r="3" spans="1:6">
      <c r="A3" s="108" t="s">
        <v>47</v>
      </c>
      <c r="B3" s="108" t="s">
        <v>2</v>
      </c>
      <c r="C3" s="108" t="s">
        <v>56</v>
      </c>
      <c r="D3" s="108" t="s">
        <v>48</v>
      </c>
      <c r="E3" s="108" t="s">
        <v>49</v>
      </c>
      <c r="F3" s="108" t="s">
        <v>50</v>
      </c>
    </row>
    <row r="4" spans="1:6">
      <c r="A4" s="102" t="s">
        <v>51</v>
      </c>
      <c r="B4" s="103">
        <v>230102</v>
      </c>
      <c r="C4" s="104">
        <v>50</v>
      </c>
      <c r="D4" s="104">
        <v>6230.77</v>
      </c>
      <c r="E4" s="104">
        <v>50</v>
      </c>
      <c r="F4" s="104">
        <f t="shared" ref="F4:F9" si="0">C4+D4-E4</f>
        <v>6230.77</v>
      </c>
    </row>
    <row r="5" spans="1:6">
      <c r="A5" s="102" t="s">
        <v>52</v>
      </c>
      <c r="B5" s="103">
        <v>230108</v>
      </c>
      <c r="C5" s="104">
        <v>374890</v>
      </c>
      <c r="D5" s="104">
        <v>0</v>
      </c>
      <c r="E5" s="104">
        <v>42250</v>
      </c>
      <c r="F5" s="104">
        <f t="shared" si="0"/>
        <v>332640</v>
      </c>
    </row>
    <row r="6" spans="1:6">
      <c r="A6" s="102" t="s">
        <v>53</v>
      </c>
      <c r="B6" s="103">
        <v>230105</v>
      </c>
      <c r="C6" s="104">
        <v>10216</v>
      </c>
      <c r="D6" s="104">
        <v>240.75</v>
      </c>
      <c r="E6" s="104">
        <v>0</v>
      </c>
      <c r="F6" s="104">
        <f t="shared" si="0"/>
        <v>10456.75</v>
      </c>
    </row>
    <row r="7" spans="1:6">
      <c r="A7" s="102" t="s">
        <v>173</v>
      </c>
      <c r="B7" s="103">
        <v>230106</v>
      </c>
      <c r="C7" s="104">
        <v>12259.2</v>
      </c>
      <c r="D7" s="104">
        <v>288.89999999999998</v>
      </c>
      <c r="E7" s="104">
        <v>0</v>
      </c>
      <c r="F7" s="104">
        <f t="shared" si="0"/>
        <v>12548.1</v>
      </c>
    </row>
    <row r="8" spans="1:6">
      <c r="A8" s="102" t="s">
        <v>54</v>
      </c>
      <c r="B8" s="103" t="s">
        <v>5</v>
      </c>
      <c r="C8" s="104">
        <v>847654.07</v>
      </c>
      <c r="D8" s="104">
        <v>0</v>
      </c>
      <c r="E8" s="104">
        <v>0</v>
      </c>
      <c r="F8" s="104">
        <f t="shared" si="0"/>
        <v>847654.07</v>
      </c>
    </row>
    <row r="9" spans="1:6">
      <c r="A9" s="102" t="s">
        <v>400</v>
      </c>
      <c r="B9" s="102"/>
      <c r="C9" s="104"/>
      <c r="D9" s="104"/>
      <c r="E9" s="104"/>
      <c r="F9" s="104">
        <f t="shared" si="0"/>
        <v>0</v>
      </c>
    </row>
    <row r="10" spans="1:6">
      <c r="A10" s="102" t="s">
        <v>401</v>
      </c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55</v>
      </c>
      <c r="B12" s="106"/>
      <c r="C12" s="107">
        <f>SUM(C4:C11)</f>
        <v>1245069.27</v>
      </c>
      <c r="D12" s="107">
        <f>SUM(D4:D11)</f>
        <v>6760.42</v>
      </c>
      <c r="E12" s="107">
        <f>SUM(E4:E11)</f>
        <v>42300</v>
      </c>
      <c r="F12" s="107">
        <f>SUM(F4:F11)</f>
        <v>1209529.69</v>
      </c>
    </row>
    <row r="13" spans="1:6" ht="24" thickTop="1"/>
    <row r="34" spans="1:6">
      <c r="A34" s="484" t="s">
        <v>77</v>
      </c>
      <c r="B34" s="484"/>
      <c r="C34" s="484"/>
      <c r="D34" s="484"/>
      <c r="E34" s="484"/>
      <c r="F34" s="484"/>
    </row>
    <row r="35" spans="1:6">
      <c r="A35" s="484" t="s">
        <v>397</v>
      </c>
      <c r="B35" s="484"/>
      <c r="C35" s="484"/>
      <c r="D35" s="484"/>
      <c r="E35" s="484"/>
      <c r="F35" s="484"/>
    </row>
    <row r="36" spans="1:6">
      <c r="A36" s="108" t="s">
        <v>47</v>
      </c>
      <c r="B36" s="108" t="s">
        <v>2</v>
      </c>
      <c r="C36" s="108" t="s">
        <v>56</v>
      </c>
      <c r="D36" s="108" t="s">
        <v>384</v>
      </c>
      <c r="E36" s="108" t="s">
        <v>68</v>
      </c>
      <c r="F36" s="108" t="s">
        <v>50</v>
      </c>
    </row>
    <row r="37" spans="1:6">
      <c r="A37" s="369" t="s">
        <v>281</v>
      </c>
      <c r="B37" s="103"/>
      <c r="C37" s="104">
        <v>0</v>
      </c>
      <c r="D37" s="104">
        <f>2403500+474200+2795100</f>
        <v>5672800</v>
      </c>
      <c r="E37" s="104">
        <f>2373000+471400+33300+468500+436500+467000+467000+490500+465600</f>
        <v>5672800</v>
      </c>
      <c r="F37" s="104">
        <f t="shared" ref="F37:F49" si="1">C37+D37-E37</f>
        <v>0</v>
      </c>
    </row>
    <row r="38" spans="1:6">
      <c r="A38" s="369" t="s">
        <v>282</v>
      </c>
      <c r="B38" s="103"/>
      <c r="C38" s="104">
        <v>0</v>
      </c>
      <c r="D38" s="104">
        <f>270000+52000+300500</f>
        <v>622500</v>
      </c>
      <c r="E38" s="104">
        <f>262000+51500+8500+51000+43000+51000+51000+53500+51000</f>
        <v>622500</v>
      </c>
      <c r="F38" s="104">
        <f t="shared" si="1"/>
        <v>0</v>
      </c>
    </row>
    <row r="39" spans="1:6">
      <c r="A39" s="369" t="s">
        <v>283</v>
      </c>
      <c r="B39" s="103"/>
      <c r="C39" s="104">
        <v>0</v>
      </c>
      <c r="D39" s="104">
        <f>86490+57660+28830+57660+28830+57660+28830</f>
        <v>345960</v>
      </c>
      <c r="E39" s="104">
        <f>115320+57660+57660+28830+28830+57660</f>
        <v>345960</v>
      </c>
      <c r="F39" s="104">
        <f t="shared" si="1"/>
        <v>0</v>
      </c>
    </row>
    <row r="40" spans="1:6">
      <c r="A40" s="369" t="s">
        <v>373</v>
      </c>
      <c r="B40" s="103"/>
      <c r="C40" s="104">
        <v>0</v>
      </c>
      <c r="D40" s="104">
        <f>48510+32340+16170+32340+16170+32340+16170</f>
        <v>194040</v>
      </c>
      <c r="E40" s="104">
        <f>64680+32340+32340+16170+16170+32340</f>
        <v>194040</v>
      </c>
      <c r="F40" s="104">
        <f t="shared" si="1"/>
        <v>0</v>
      </c>
    </row>
    <row r="41" spans="1:6">
      <c r="A41" s="369" t="s">
        <v>374</v>
      </c>
      <c r="B41" s="103"/>
      <c r="C41" s="104">
        <v>0</v>
      </c>
      <c r="D41" s="104">
        <f>84960+61680+149120+89930+52030+52030</f>
        <v>489750</v>
      </c>
      <c r="E41" s="104">
        <f>146640+149120+52030+37900+52030+52030</f>
        <v>489750</v>
      </c>
      <c r="F41" s="104">
        <f t="shared" si="1"/>
        <v>0</v>
      </c>
    </row>
    <row r="42" spans="1:6">
      <c r="A42" s="369" t="s">
        <v>375</v>
      </c>
      <c r="B42" s="102"/>
      <c r="C42" s="104">
        <v>0</v>
      </c>
      <c r="D42" s="104">
        <f>50040+43320+90880+30070+7970+7970</f>
        <v>230250</v>
      </c>
      <c r="E42" s="104">
        <f>93360+90880+7970+22100+7970+7970</f>
        <v>230250</v>
      </c>
      <c r="F42" s="104">
        <f t="shared" si="1"/>
        <v>0</v>
      </c>
    </row>
    <row r="43" spans="1:6">
      <c r="A43" s="369" t="s">
        <v>376</v>
      </c>
      <c r="B43" s="102"/>
      <c r="C43" s="104">
        <v>0</v>
      </c>
      <c r="D43" s="104">
        <f>5400+4050+1800+3600+1800+3600+1800</f>
        <v>22050</v>
      </c>
      <c r="E43" s="104">
        <f>7650+1800+1800+1800+1800+1800-450+4050+1800</f>
        <v>22050</v>
      </c>
      <c r="F43" s="104">
        <f t="shared" si="1"/>
        <v>0</v>
      </c>
    </row>
    <row r="44" spans="1:6">
      <c r="A44" s="369" t="s">
        <v>377</v>
      </c>
      <c r="B44" s="102"/>
      <c r="C44" s="104">
        <v>0</v>
      </c>
      <c r="D44" s="104">
        <f>11163.5+160042+21046.25</f>
        <v>192251.75</v>
      </c>
      <c r="E44" s="104">
        <f>11163.5+160042+21046.25</f>
        <v>192251.75</v>
      </c>
      <c r="F44" s="104">
        <f t="shared" si="1"/>
        <v>0</v>
      </c>
    </row>
    <row r="45" spans="1:6">
      <c r="A45" s="369" t="s">
        <v>383</v>
      </c>
      <c r="B45" s="102"/>
      <c r="C45" s="104">
        <v>0</v>
      </c>
      <c r="D45" s="104">
        <v>10000</v>
      </c>
      <c r="E45" s="104">
        <v>9995</v>
      </c>
      <c r="F45" s="104">
        <f t="shared" si="1"/>
        <v>5</v>
      </c>
    </row>
    <row r="46" spans="1:6">
      <c r="A46" s="369" t="s">
        <v>385</v>
      </c>
      <c r="B46" s="102"/>
      <c r="C46" s="104">
        <v>0</v>
      </c>
      <c r="D46" s="104">
        <v>103800</v>
      </c>
      <c r="E46" s="104">
        <v>103800</v>
      </c>
      <c r="F46" s="104">
        <f t="shared" si="1"/>
        <v>0</v>
      </c>
    </row>
    <row r="47" spans="1:6">
      <c r="A47" s="369" t="s">
        <v>387</v>
      </c>
      <c r="B47" s="102"/>
      <c r="C47" s="104">
        <v>0</v>
      </c>
      <c r="D47" s="104">
        <f>56000+49000</f>
        <v>105000</v>
      </c>
      <c r="E47" s="104">
        <f>14000+38500+52500</f>
        <v>105000</v>
      </c>
      <c r="F47" s="104">
        <f t="shared" si="1"/>
        <v>0</v>
      </c>
    </row>
    <row r="48" spans="1:6">
      <c r="A48" s="369" t="s">
        <v>389</v>
      </c>
      <c r="B48" s="102"/>
      <c r="C48" s="104">
        <v>0</v>
      </c>
      <c r="D48" s="104">
        <v>394000</v>
      </c>
      <c r="E48" s="104">
        <v>394000</v>
      </c>
      <c r="F48" s="104">
        <f t="shared" si="1"/>
        <v>0</v>
      </c>
    </row>
    <row r="49" spans="1:6">
      <c r="A49" s="369" t="s">
        <v>393</v>
      </c>
      <c r="B49" s="102"/>
      <c r="C49" s="104">
        <v>0</v>
      </c>
      <c r="D49" s="104">
        <v>75000</v>
      </c>
      <c r="E49" s="104">
        <v>75000</v>
      </c>
      <c r="F49" s="104">
        <f t="shared" si="1"/>
        <v>0</v>
      </c>
    </row>
    <row r="50" spans="1:6" ht="24" thickBot="1">
      <c r="A50" s="105" t="s">
        <v>55</v>
      </c>
      <c r="B50" s="106"/>
      <c r="C50" s="107">
        <v>0</v>
      </c>
      <c r="D50" s="107">
        <f>SUM(D37:D49)</f>
        <v>8457401.75</v>
      </c>
      <c r="E50" s="107">
        <f>SUM(E37:E49)</f>
        <v>8457396.75</v>
      </c>
      <c r="F50" s="107">
        <f>SUM(F37:F49)</f>
        <v>5</v>
      </c>
    </row>
    <row r="51" spans="1:6" ht="24" thickTop="1"/>
  </sheetData>
  <mergeCells count="4">
    <mergeCell ref="A1:F1"/>
    <mergeCell ref="A2:F2"/>
    <mergeCell ref="A34:F34"/>
    <mergeCell ref="A35:F35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7"/>
  <sheetViews>
    <sheetView topLeftCell="A64" workbookViewId="0">
      <selection activeCell="H10" sqref="H10"/>
    </sheetView>
  </sheetViews>
  <sheetFormatPr defaultRowHeight="21.75"/>
  <cols>
    <col min="1" max="1" width="9.140625" style="169"/>
    <col min="2" max="2" width="32" style="169" customWidth="1"/>
    <col min="3" max="4" width="14.42578125" style="169" bestFit="1" customWidth="1"/>
    <col min="5" max="5" width="9.140625" style="169"/>
    <col min="6" max="6" width="14.42578125" style="169" bestFit="1" customWidth="1"/>
    <col min="7" max="7" width="9.140625" style="169"/>
    <col min="8" max="8" width="11" style="169" bestFit="1" customWidth="1"/>
    <col min="9" max="16384" width="9.140625" style="169"/>
  </cols>
  <sheetData>
    <row r="1" spans="1:8" ht="23.25">
      <c r="A1" s="485" t="s">
        <v>291</v>
      </c>
      <c r="B1" s="485"/>
      <c r="C1" s="485"/>
      <c r="D1" s="485"/>
      <c r="E1" s="485"/>
      <c r="F1" s="485"/>
    </row>
    <row r="2" spans="1:8" ht="23.25">
      <c r="A2" s="485" t="s">
        <v>242</v>
      </c>
      <c r="B2" s="485"/>
      <c r="C2" s="485"/>
      <c r="D2" s="485"/>
      <c r="E2" s="485"/>
      <c r="F2" s="485"/>
    </row>
    <row r="3" spans="1:8" ht="23.25">
      <c r="A3" s="485" t="s">
        <v>418</v>
      </c>
      <c r="B3" s="485"/>
      <c r="C3" s="485"/>
      <c r="D3" s="485"/>
      <c r="E3" s="485"/>
      <c r="F3" s="485"/>
    </row>
    <row r="4" spans="1:8" ht="23.25">
      <c r="A4" s="170" t="s">
        <v>243</v>
      </c>
      <c r="B4" s="170"/>
      <c r="C4" s="171"/>
      <c r="D4" s="171"/>
      <c r="E4" s="171"/>
      <c r="F4" s="172"/>
    </row>
    <row r="5" spans="1:8">
      <c r="A5" s="486" t="s">
        <v>72</v>
      </c>
      <c r="B5" s="487"/>
      <c r="C5" s="490" t="s">
        <v>70</v>
      </c>
      <c r="D5" s="490" t="s">
        <v>244</v>
      </c>
      <c r="E5" s="173" t="s">
        <v>245</v>
      </c>
      <c r="F5" s="173" t="s">
        <v>246</v>
      </c>
    </row>
    <row r="6" spans="1:8">
      <c r="A6" s="488"/>
      <c r="B6" s="489"/>
      <c r="C6" s="491"/>
      <c r="D6" s="491"/>
      <c r="E6" s="174" t="s">
        <v>247</v>
      </c>
      <c r="F6" s="174" t="s">
        <v>248</v>
      </c>
    </row>
    <row r="7" spans="1:8" s="179" customFormat="1" ht="21">
      <c r="A7" s="175" t="s">
        <v>249</v>
      </c>
      <c r="B7" s="176"/>
      <c r="C7" s="177">
        <f>C8+C12+C23+C26+C29+C33</f>
        <v>1108200</v>
      </c>
      <c r="D7" s="177">
        <f>D8+D12+D23+D26+D29+D33</f>
        <v>125427.15</v>
      </c>
      <c r="E7" s="178" t="s">
        <v>5</v>
      </c>
      <c r="F7" s="177">
        <f>C7-D7</f>
        <v>982772.85</v>
      </c>
    </row>
    <row r="8" spans="1:8">
      <c r="A8" s="180" t="s">
        <v>127</v>
      </c>
      <c r="B8" s="181"/>
      <c r="C8" s="182">
        <f>SUM(C9:C11)</f>
        <v>217000</v>
      </c>
      <c r="D8" s="182">
        <f>D9+D10+D11</f>
        <v>4595.07</v>
      </c>
      <c r="E8" s="183" t="s">
        <v>5</v>
      </c>
      <c r="F8" s="184">
        <f t="shared" ref="F8:F52" si="0">C8-D8</f>
        <v>212404.93</v>
      </c>
      <c r="H8" s="185"/>
    </row>
    <row r="9" spans="1:8">
      <c r="A9" s="186"/>
      <c r="B9" s="187" t="s">
        <v>250</v>
      </c>
      <c r="C9" s="188">
        <v>42000</v>
      </c>
      <c r="D9" s="188">
        <v>0</v>
      </c>
      <c r="E9" s="189" t="s">
        <v>5</v>
      </c>
      <c r="F9" s="190">
        <f t="shared" si="0"/>
        <v>42000</v>
      </c>
    </row>
    <row r="10" spans="1:8">
      <c r="A10" s="186"/>
      <c r="B10" s="187" t="s">
        <v>251</v>
      </c>
      <c r="C10" s="188">
        <v>170000</v>
      </c>
      <c r="D10" s="188">
        <f>2274.84+2320.23</f>
        <v>4595.07</v>
      </c>
      <c r="E10" s="189" t="s">
        <v>5</v>
      </c>
      <c r="F10" s="190">
        <f t="shared" si="0"/>
        <v>165404.93</v>
      </c>
    </row>
    <row r="11" spans="1:8">
      <c r="A11" s="186"/>
      <c r="B11" s="187" t="s">
        <v>252</v>
      </c>
      <c r="C11" s="188">
        <v>5000</v>
      </c>
      <c r="D11" s="188">
        <v>0</v>
      </c>
      <c r="E11" s="191" t="s">
        <v>5</v>
      </c>
      <c r="F11" s="190">
        <f t="shared" si="0"/>
        <v>5000</v>
      </c>
    </row>
    <row r="12" spans="1:8">
      <c r="A12" s="180" t="s">
        <v>126</v>
      </c>
      <c r="B12" s="187"/>
      <c r="C12" s="182">
        <f>SUM(C13:C22)</f>
        <v>51200</v>
      </c>
      <c r="D12" s="182">
        <f>SUM(D13:D21)</f>
        <v>1216</v>
      </c>
      <c r="E12" s="183" t="s">
        <v>5</v>
      </c>
      <c r="F12" s="184">
        <f t="shared" si="0"/>
        <v>49984</v>
      </c>
    </row>
    <row r="13" spans="1:8">
      <c r="A13" s="186"/>
      <c r="B13" s="187" t="s">
        <v>253</v>
      </c>
      <c r="C13" s="188">
        <v>0</v>
      </c>
      <c r="D13" s="192">
        <v>0</v>
      </c>
      <c r="E13" s="189" t="s">
        <v>5</v>
      </c>
      <c r="F13" s="190">
        <f t="shared" si="0"/>
        <v>0</v>
      </c>
    </row>
    <row r="14" spans="1:8">
      <c r="A14" s="186"/>
      <c r="B14" s="187" t="s">
        <v>254</v>
      </c>
      <c r="C14" s="188">
        <v>200</v>
      </c>
      <c r="D14" s="192">
        <f>120+100</f>
        <v>220</v>
      </c>
      <c r="E14" s="189" t="s">
        <v>5</v>
      </c>
      <c r="F14" s="190">
        <f t="shared" si="0"/>
        <v>-20</v>
      </c>
    </row>
    <row r="15" spans="1:8">
      <c r="A15" s="186"/>
      <c r="B15" s="187" t="s">
        <v>255</v>
      </c>
      <c r="C15" s="188">
        <v>0</v>
      </c>
      <c r="D15" s="192">
        <v>0</v>
      </c>
      <c r="E15" s="189" t="s">
        <v>5</v>
      </c>
      <c r="F15" s="190">
        <f t="shared" si="0"/>
        <v>0</v>
      </c>
    </row>
    <row r="16" spans="1:8">
      <c r="A16" s="186"/>
      <c r="B16" s="187" t="s">
        <v>256</v>
      </c>
      <c r="C16" s="188">
        <v>1000</v>
      </c>
      <c r="D16" s="192">
        <v>0</v>
      </c>
      <c r="E16" s="189" t="s">
        <v>5</v>
      </c>
      <c r="F16" s="190">
        <f t="shared" si="0"/>
        <v>1000</v>
      </c>
    </row>
    <row r="17" spans="1:6">
      <c r="A17" s="186"/>
      <c r="B17" s="193" t="s">
        <v>257</v>
      </c>
      <c r="C17" s="188">
        <v>0</v>
      </c>
      <c r="D17" s="192">
        <v>0</v>
      </c>
      <c r="E17" s="189" t="s">
        <v>5</v>
      </c>
      <c r="F17" s="190">
        <f t="shared" si="0"/>
        <v>0</v>
      </c>
    </row>
    <row r="18" spans="1:6">
      <c r="A18" s="186"/>
      <c r="B18" s="193" t="s">
        <v>258</v>
      </c>
      <c r="C18" s="188">
        <v>50000</v>
      </c>
      <c r="D18" s="192">
        <v>996</v>
      </c>
      <c r="E18" s="189" t="s">
        <v>5</v>
      </c>
      <c r="F18" s="190">
        <f t="shared" si="0"/>
        <v>49004</v>
      </c>
    </row>
    <row r="19" spans="1:6">
      <c r="A19" s="186"/>
      <c r="B19" s="193" t="s">
        <v>259</v>
      </c>
      <c r="C19" s="188">
        <v>0</v>
      </c>
      <c r="D19" s="192">
        <v>0</v>
      </c>
      <c r="E19" s="189" t="s">
        <v>5</v>
      </c>
      <c r="F19" s="190">
        <f t="shared" si="0"/>
        <v>0</v>
      </c>
    </row>
    <row r="20" spans="1:6">
      <c r="A20" s="186"/>
      <c r="B20" s="193" t="s">
        <v>260</v>
      </c>
      <c r="C20" s="188">
        <v>0</v>
      </c>
      <c r="D20" s="192">
        <v>0</v>
      </c>
      <c r="E20" s="189" t="s">
        <v>5</v>
      </c>
      <c r="F20" s="190">
        <f t="shared" si="0"/>
        <v>0</v>
      </c>
    </row>
    <row r="21" spans="1:6">
      <c r="A21" s="186"/>
      <c r="B21" s="193" t="s">
        <v>261</v>
      </c>
      <c r="C21" s="188">
        <v>0</v>
      </c>
      <c r="D21" s="192">
        <v>0</v>
      </c>
      <c r="E21" s="189" t="s">
        <v>5</v>
      </c>
      <c r="F21" s="190">
        <f t="shared" si="0"/>
        <v>0</v>
      </c>
    </row>
    <row r="22" spans="1:6">
      <c r="A22" s="186"/>
      <c r="B22" s="193"/>
      <c r="C22" s="188"/>
      <c r="D22" s="192"/>
      <c r="E22" s="191"/>
      <c r="F22" s="194">
        <f t="shared" si="0"/>
        <v>0</v>
      </c>
    </row>
    <row r="23" spans="1:6">
      <c r="A23" s="195" t="s">
        <v>125</v>
      </c>
      <c r="B23" s="196"/>
      <c r="C23" s="182">
        <f>SUM(C24:C24)</f>
        <v>160000</v>
      </c>
      <c r="D23" s="182">
        <f>SUM(D24:D24)</f>
        <v>18843.080000000002</v>
      </c>
      <c r="E23" s="183" t="s">
        <v>5</v>
      </c>
      <c r="F23" s="184">
        <f t="shared" si="0"/>
        <v>141156.91999999998</v>
      </c>
    </row>
    <row r="24" spans="1:6">
      <c r="A24" s="186"/>
      <c r="B24" s="193" t="s">
        <v>262</v>
      </c>
      <c r="C24" s="188">
        <v>160000</v>
      </c>
      <c r="D24" s="192">
        <v>18843.080000000002</v>
      </c>
      <c r="E24" s="189" t="s">
        <v>5</v>
      </c>
      <c r="F24" s="190">
        <f t="shared" si="0"/>
        <v>141156.91999999998</v>
      </c>
    </row>
    <row r="25" spans="1:6">
      <c r="A25" s="186"/>
      <c r="B25" s="193"/>
      <c r="C25" s="188"/>
      <c r="D25" s="192"/>
      <c r="E25" s="370"/>
      <c r="F25" s="190">
        <f t="shared" si="0"/>
        <v>0</v>
      </c>
    </row>
    <row r="26" spans="1:6">
      <c r="A26" s="180" t="s">
        <v>124</v>
      </c>
      <c r="B26" s="196"/>
      <c r="C26" s="182">
        <f>SUM(C27)</f>
        <v>600000</v>
      </c>
      <c r="D26" s="197">
        <f>D27</f>
        <v>97485</v>
      </c>
      <c r="E26" s="370" t="s">
        <v>5</v>
      </c>
      <c r="F26" s="184">
        <f t="shared" si="0"/>
        <v>502515</v>
      </c>
    </row>
    <row r="27" spans="1:6">
      <c r="A27" s="186"/>
      <c r="B27" s="187" t="s">
        <v>263</v>
      </c>
      <c r="C27" s="188">
        <v>600000</v>
      </c>
      <c r="D27" s="192">
        <f>48630+48855</f>
        <v>97485</v>
      </c>
      <c r="E27" s="189" t="s">
        <v>5</v>
      </c>
      <c r="F27" s="198">
        <f t="shared" si="0"/>
        <v>502515</v>
      </c>
    </row>
    <row r="28" spans="1:6">
      <c r="A28" s="186"/>
      <c r="B28" s="193"/>
      <c r="C28" s="188"/>
      <c r="D28" s="192"/>
      <c r="E28" s="191"/>
      <c r="F28" s="190"/>
    </row>
    <row r="29" spans="1:6">
      <c r="A29" s="180" t="s">
        <v>123</v>
      </c>
      <c r="B29" s="196"/>
      <c r="C29" s="182">
        <f>SUM(C30:C31)</f>
        <v>80000</v>
      </c>
      <c r="D29" s="197">
        <f>D30+D31</f>
        <v>3288</v>
      </c>
      <c r="E29" s="183" t="s">
        <v>5</v>
      </c>
      <c r="F29" s="198">
        <f t="shared" si="0"/>
        <v>76712</v>
      </c>
    </row>
    <row r="30" spans="1:6">
      <c r="A30" s="186"/>
      <c r="B30" s="187" t="s">
        <v>264</v>
      </c>
      <c r="C30" s="188">
        <v>60000</v>
      </c>
      <c r="D30" s="192">
        <v>0</v>
      </c>
      <c r="E30" s="189" t="s">
        <v>5</v>
      </c>
      <c r="F30" s="198">
        <f t="shared" si="0"/>
        <v>60000</v>
      </c>
    </row>
    <row r="31" spans="1:6">
      <c r="A31" s="186"/>
      <c r="B31" s="187" t="s">
        <v>265</v>
      </c>
      <c r="C31" s="188">
        <v>20000</v>
      </c>
      <c r="D31" s="192">
        <v>3288</v>
      </c>
      <c r="E31" s="189" t="s">
        <v>5</v>
      </c>
      <c r="F31" s="190">
        <f t="shared" si="0"/>
        <v>16712</v>
      </c>
    </row>
    <row r="32" spans="1:6">
      <c r="A32" s="186"/>
      <c r="B32" s="187"/>
      <c r="C32" s="188"/>
      <c r="D32" s="192"/>
      <c r="E32" s="189"/>
      <c r="F32" s="190"/>
    </row>
    <row r="33" spans="1:7">
      <c r="A33" s="180" t="s">
        <v>266</v>
      </c>
      <c r="B33" s="196"/>
      <c r="C33" s="182">
        <f>SUM(C34)</f>
        <v>0</v>
      </c>
      <c r="D33" s="197">
        <f>D34</f>
        <v>0</v>
      </c>
      <c r="E33" s="183" t="s">
        <v>5</v>
      </c>
      <c r="F33" s="198">
        <f>C33-D33</f>
        <v>0</v>
      </c>
    </row>
    <row r="34" spans="1:7">
      <c r="A34" s="186"/>
      <c r="B34" s="187" t="s">
        <v>267</v>
      </c>
      <c r="C34" s="188">
        <v>0</v>
      </c>
      <c r="D34" s="192">
        <v>0</v>
      </c>
      <c r="E34" s="189" t="s">
        <v>5</v>
      </c>
      <c r="F34" s="198">
        <f>C34-D34</f>
        <v>0</v>
      </c>
    </row>
    <row r="35" spans="1:7">
      <c r="A35" s="186"/>
      <c r="B35" s="187"/>
      <c r="C35" s="188"/>
      <c r="D35" s="192"/>
      <c r="E35" s="189"/>
      <c r="F35" s="190"/>
    </row>
    <row r="36" spans="1:7">
      <c r="A36" s="186"/>
      <c r="B36" s="187"/>
      <c r="C36" s="188"/>
      <c r="D36" s="192"/>
      <c r="E36" s="189"/>
      <c r="F36" s="190"/>
    </row>
    <row r="37" spans="1:7">
      <c r="A37" s="186"/>
      <c r="B37" s="187"/>
      <c r="C37" s="188"/>
      <c r="D37" s="192"/>
      <c r="E37" s="189"/>
      <c r="F37" s="190"/>
    </row>
    <row r="38" spans="1:7">
      <c r="A38" s="334"/>
      <c r="B38" s="335"/>
      <c r="C38" s="336"/>
      <c r="D38" s="337"/>
      <c r="E38" s="338"/>
      <c r="F38" s="206"/>
    </row>
    <row r="39" spans="1:7" s="179" customFormat="1" ht="21">
      <c r="A39" s="175" t="s">
        <v>268</v>
      </c>
      <c r="B39" s="176"/>
      <c r="C39" s="204"/>
      <c r="D39" s="204"/>
      <c r="E39" s="339"/>
      <c r="F39" s="177"/>
    </row>
    <row r="40" spans="1:7" s="179" customFormat="1">
      <c r="A40" s="202" t="s">
        <v>122</v>
      </c>
      <c r="B40" s="203"/>
      <c r="C40" s="204">
        <f>SUM(C41:C49)</f>
        <v>13102500</v>
      </c>
      <c r="D40" s="204">
        <f>SUM(D41:D50)</f>
        <v>2485544.2600000002</v>
      </c>
      <c r="E40" s="205" t="s">
        <v>5</v>
      </c>
      <c r="F40" s="184">
        <f t="shared" si="0"/>
        <v>10616955.74</v>
      </c>
    </row>
    <row r="41" spans="1:7">
      <c r="A41" s="186"/>
      <c r="B41" s="187" t="s">
        <v>269</v>
      </c>
      <c r="C41" s="188">
        <v>5910000</v>
      </c>
      <c r="D41" s="188">
        <f>578035.76+580923.2</f>
        <v>1158958.96</v>
      </c>
      <c r="E41" s="189" t="s">
        <v>5</v>
      </c>
      <c r="F41" s="190">
        <f t="shared" si="0"/>
        <v>4751041.04</v>
      </c>
    </row>
    <row r="42" spans="1:7">
      <c r="A42" s="186"/>
      <c r="B42" s="187" t="s">
        <v>270</v>
      </c>
      <c r="C42" s="188">
        <v>2800000</v>
      </c>
      <c r="D42" s="188">
        <f>246114.13+324503.8</f>
        <v>570617.92999999993</v>
      </c>
      <c r="E42" s="189" t="s">
        <v>5</v>
      </c>
      <c r="F42" s="190">
        <f t="shared" si="0"/>
        <v>2229382.0700000003</v>
      </c>
    </row>
    <row r="43" spans="1:7">
      <c r="A43" s="186"/>
      <c r="B43" s="187" t="s">
        <v>271</v>
      </c>
      <c r="C43" s="188">
        <v>110000</v>
      </c>
      <c r="D43" s="188">
        <v>0</v>
      </c>
      <c r="E43" s="189" t="s">
        <v>5</v>
      </c>
      <c r="F43" s="190">
        <f t="shared" si="0"/>
        <v>110000</v>
      </c>
    </row>
    <row r="44" spans="1:7">
      <c r="A44" s="186"/>
      <c r="B44" s="187" t="s">
        <v>272</v>
      </c>
      <c r="C44" s="188">
        <v>1350000</v>
      </c>
      <c r="D44" s="188">
        <f>87872.64+184707.69</f>
        <v>272580.33</v>
      </c>
      <c r="E44" s="189" t="s">
        <v>5</v>
      </c>
      <c r="F44" s="190">
        <f t="shared" si="0"/>
        <v>1077419.67</v>
      </c>
    </row>
    <row r="45" spans="1:7">
      <c r="A45" s="186" t="s">
        <v>273</v>
      </c>
      <c r="B45" s="187" t="s">
        <v>274</v>
      </c>
      <c r="C45" s="188">
        <v>2490000</v>
      </c>
      <c r="D45" s="188">
        <f>197152.87+200988.15</f>
        <v>398141.02</v>
      </c>
      <c r="E45" s="189" t="s">
        <v>5</v>
      </c>
      <c r="F45" s="190">
        <f t="shared" si="0"/>
        <v>2091858.98</v>
      </c>
    </row>
    <row r="46" spans="1:7">
      <c r="A46" s="186"/>
      <c r="B46" s="187" t="s">
        <v>275</v>
      </c>
      <c r="C46" s="188">
        <v>60000</v>
      </c>
      <c r="D46" s="188">
        <v>0</v>
      </c>
      <c r="E46" s="189" t="s">
        <v>5</v>
      </c>
      <c r="F46" s="190">
        <f t="shared" si="0"/>
        <v>60000</v>
      </c>
    </row>
    <row r="47" spans="1:7">
      <c r="A47" s="186"/>
      <c r="B47" s="187" t="s">
        <v>276</v>
      </c>
      <c r="C47" s="188">
        <v>180000</v>
      </c>
      <c r="D47" s="188">
        <v>65223.02</v>
      </c>
      <c r="E47" s="189" t="s">
        <v>5</v>
      </c>
      <c r="F47" s="190">
        <f t="shared" si="0"/>
        <v>114776.98000000001</v>
      </c>
    </row>
    <row r="48" spans="1:7">
      <c r="A48" s="186"/>
      <c r="B48" s="187" t="s">
        <v>277</v>
      </c>
      <c r="C48" s="188">
        <v>200000</v>
      </c>
      <c r="D48" s="188">
        <v>20023</v>
      </c>
      <c r="E48" s="189" t="s">
        <v>5</v>
      </c>
      <c r="F48" s="190">
        <f t="shared" si="0"/>
        <v>179977</v>
      </c>
      <c r="G48" s="185"/>
    </row>
    <row r="49" spans="1:7">
      <c r="A49" s="186"/>
      <c r="B49" s="187" t="s">
        <v>370</v>
      </c>
      <c r="C49" s="188">
        <v>2500</v>
      </c>
      <c r="D49" s="188">
        <v>0</v>
      </c>
      <c r="E49" s="189" t="s">
        <v>5</v>
      </c>
      <c r="F49" s="190">
        <f t="shared" si="0"/>
        <v>2500</v>
      </c>
      <c r="G49" s="185"/>
    </row>
    <row r="50" spans="1:7">
      <c r="A50" s="186"/>
      <c r="B50" s="187" t="s">
        <v>391</v>
      </c>
      <c r="C50" s="188">
        <v>0</v>
      </c>
      <c r="D50" s="188">
        <v>0</v>
      </c>
      <c r="E50" s="189" t="s">
        <v>5</v>
      </c>
      <c r="F50" s="206">
        <f t="shared" si="0"/>
        <v>0</v>
      </c>
      <c r="G50" s="185"/>
    </row>
    <row r="51" spans="1:7" s="179" customFormat="1">
      <c r="A51" s="200" t="s">
        <v>278</v>
      </c>
      <c r="B51" s="201"/>
      <c r="C51" s="207">
        <f>SUM(C52:C64)</f>
        <v>12000000</v>
      </c>
      <c r="D51" s="207">
        <f>SUM(D52)</f>
        <v>0</v>
      </c>
      <c r="E51" s="205" t="s">
        <v>5</v>
      </c>
      <c r="F51" s="190">
        <f t="shared" si="0"/>
        <v>12000000</v>
      </c>
    </row>
    <row r="52" spans="1:7">
      <c r="A52" s="186"/>
      <c r="B52" s="187" t="s">
        <v>279</v>
      </c>
      <c r="C52" s="192">
        <v>12000000</v>
      </c>
      <c r="D52" s="199">
        <v>0</v>
      </c>
      <c r="E52" s="191" t="s">
        <v>5</v>
      </c>
      <c r="F52" s="198">
        <f t="shared" si="0"/>
        <v>12000000</v>
      </c>
    </row>
    <row r="53" spans="1:7">
      <c r="A53" s="186"/>
      <c r="B53" s="187"/>
      <c r="C53" s="192"/>
      <c r="D53" s="199"/>
      <c r="E53" s="191"/>
      <c r="F53" s="188"/>
    </row>
    <row r="54" spans="1:7">
      <c r="A54" s="200" t="s">
        <v>280</v>
      </c>
      <c r="B54" s="201"/>
      <c r="C54" s="207"/>
      <c r="D54" s="207">
        <f>SUM(D55:D67)</f>
        <v>0</v>
      </c>
      <c r="E54" s="205" t="s">
        <v>5</v>
      </c>
      <c r="F54" s="204">
        <v>0</v>
      </c>
    </row>
    <row r="55" spans="1:7">
      <c r="A55" s="200"/>
      <c r="B55" s="187" t="s">
        <v>281</v>
      </c>
      <c r="C55" s="188"/>
      <c r="D55" s="188">
        <v>0</v>
      </c>
      <c r="E55" s="191" t="s">
        <v>5</v>
      </c>
      <c r="F55" s="188">
        <f t="shared" ref="F55:F67" si="1">D55</f>
        <v>0</v>
      </c>
    </row>
    <row r="56" spans="1:7">
      <c r="A56" s="186"/>
      <c r="B56" s="187" t="s">
        <v>282</v>
      </c>
      <c r="C56" s="188"/>
      <c r="D56" s="188">
        <v>0</v>
      </c>
      <c r="E56" s="191" t="s">
        <v>5</v>
      </c>
      <c r="F56" s="188">
        <f t="shared" si="1"/>
        <v>0</v>
      </c>
    </row>
    <row r="57" spans="1:7">
      <c r="A57" s="186"/>
      <c r="B57" s="187" t="s">
        <v>283</v>
      </c>
      <c r="C57" s="188"/>
      <c r="D57" s="188">
        <v>0</v>
      </c>
      <c r="E57" s="191" t="s">
        <v>5</v>
      </c>
      <c r="F57" s="188">
        <f t="shared" si="1"/>
        <v>0</v>
      </c>
    </row>
    <row r="58" spans="1:7">
      <c r="A58" s="186"/>
      <c r="B58" s="187" t="s">
        <v>373</v>
      </c>
      <c r="C58" s="188"/>
      <c r="D58" s="188">
        <v>0</v>
      </c>
      <c r="E58" s="191" t="s">
        <v>5</v>
      </c>
      <c r="F58" s="188">
        <f t="shared" si="1"/>
        <v>0</v>
      </c>
    </row>
    <row r="59" spans="1:7">
      <c r="A59" s="186"/>
      <c r="B59" s="187" t="s">
        <v>374</v>
      </c>
      <c r="C59" s="188"/>
      <c r="D59" s="188">
        <v>0</v>
      </c>
      <c r="E59" s="191" t="s">
        <v>5</v>
      </c>
      <c r="F59" s="188">
        <f t="shared" si="1"/>
        <v>0</v>
      </c>
    </row>
    <row r="60" spans="1:7">
      <c r="A60" s="186"/>
      <c r="B60" s="187" t="s">
        <v>375</v>
      </c>
      <c r="C60" s="188"/>
      <c r="D60" s="188">
        <v>0</v>
      </c>
      <c r="E60" s="191" t="s">
        <v>5</v>
      </c>
      <c r="F60" s="188">
        <f t="shared" si="1"/>
        <v>0</v>
      </c>
    </row>
    <row r="61" spans="1:7">
      <c r="A61" s="186"/>
      <c r="B61" s="187" t="s">
        <v>376</v>
      </c>
      <c r="C61" s="188"/>
      <c r="D61" s="188">
        <v>0</v>
      </c>
      <c r="E61" s="191" t="s">
        <v>5</v>
      </c>
      <c r="F61" s="188">
        <f t="shared" si="1"/>
        <v>0</v>
      </c>
    </row>
    <row r="62" spans="1:7">
      <c r="A62" s="186"/>
      <c r="B62" s="187" t="s">
        <v>377</v>
      </c>
      <c r="C62" s="188"/>
      <c r="D62" s="188">
        <v>0</v>
      </c>
      <c r="E62" s="191" t="s">
        <v>5</v>
      </c>
      <c r="F62" s="188">
        <f t="shared" si="1"/>
        <v>0</v>
      </c>
    </row>
    <row r="63" spans="1:7">
      <c r="A63" s="186"/>
      <c r="B63" s="187" t="s">
        <v>388</v>
      </c>
      <c r="C63" s="188"/>
      <c r="D63" s="188">
        <v>0</v>
      </c>
      <c r="E63" s="191" t="s">
        <v>5</v>
      </c>
      <c r="F63" s="188">
        <f t="shared" si="1"/>
        <v>0</v>
      </c>
    </row>
    <row r="64" spans="1:7">
      <c r="A64" s="186"/>
      <c r="B64" s="187" t="s">
        <v>383</v>
      </c>
      <c r="C64" s="188"/>
      <c r="D64" s="188">
        <v>0</v>
      </c>
      <c r="E64" s="191" t="s">
        <v>5</v>
      </c>
      <c r="F64" s="188">
        <f t="shared" si="1"/>
        <v>0</v>
      </c>
    </row>
    <row r="65" spans="1:8">
      <c r="A65" s="186"/>
      <c r="B65" s="187" t="s">
        <v>385</v>
      </c>
      <c r="C65" s="188"/>
      <c r="D65" s="188">
        <v>0</v>
      </c>
      <c r="E65" s="191" t="s">
        <v>5</v>
      </c>
      <c r="F65" s="188">
        <f t="shared" si="1"/>
        <v>0</v>
      </c>
    </row>
    <row r="66" spans="1:8">
      <c r="A66" s="186"/>
      <c r="B66" s="187" t="s">
        <v>390</v>
      </c>
      <c r="C66" s="188"/>
      <c r="D66" s="188">
        <v>0</v>
      </c>
      <c r="E66" s="191" t="s">
        <v>5</v>
      </c>
      <c r="F66" s="188">
        <f t="shared" si="1"/>
        <v>0</v>
      </c>
    </row>
    <row r="67" spans="1:8">
      <c r="A67" s="186"/>
      <c r="B67" s="187" t="s">
        <v>395</v>
      </c>
      <c r="C67" s="188"/>
      <c r="D67" s="188">
        <v>0</v>
      </c>
      <c r="E67" s="191"/>
      <c r="F67" s="188">
        <f t="shared" si="1"/>
        <v>0</v>
      </c>
    </row>
    <row r="68" spans="1:8" s="179" customFormat="1" ht="21">
      <c r="A68" s="208" t="s">
        <v>284</v>
      </c>
      <c r="B68" s="209"/>
      <c r="C68" s="207">
        <f>+C7+C40+C51</f>
        <v>26210700</v>
      </c>
      <c r="D68" s="207">
        <f>D7+D40+D51</f>
        <v>2610971.41</v>
      </c>
      <c r="E68" s="205" t="s">
        <v>5</v>
      </c>
      <c r="F68" s="204">
        <f>+C68-D68</f>
        <v>23599728.59</v>
      </c>
      <c r="G68" s="210"/>
    </row>
    <row r="69" spans="1:8" s="179" customFormat="1" ht="21">
      <c r="A69" s="211"/>
      <c r="B69" s="212"/>
      <c r="C69" s="213"/>
      <c r="D69" s="213"/>
      <c r="E69" s="214"/>
      <c r="F69" s="215"/>
      <c r="G69" s="210"/>
    </row>
    <row r="70" spans="1:8">
      <c r="A70" s="216"/>
      <c r="B70" s="216"/>
      <c r="C70" s="216"/>
      <c r="D70" s="216"/>
      <c r="E70" s="216"/>
      <c r="F70" s="216"/>
    </row>
    <row r="71" spans="1:8">
      <c r="A71" s="217"/>
      <c r="B71" s="217"/>
      <c r="C71" s="217"/>
      <c r="D71" s="217"/>
      <c r="E71" s="217"/>
      <c r="F71" s="216"/>
    </row>
    <row r="72" spans="1:8">
      <c r="A72" s="217"/>
      <c r="B72" s="217"/>
      <c r="C72" s="217"/>
      <c r="D72" s="217"/>
      <c r="E72" s="217"/>
      <c r="F72" s="216"/>
    </row>
    <row r="73" spans="1:8">
      <c r="D73" s="218"/>
      <c r="F73" s="185"/>
      <c r="H73" s="185"/>
    </row>
    <row r="74" spans="1:8">
      <c r="D74" s="218"/>
      <c r="F74" s="185"/>
    </row>
    <row r="75" spans="1:8">
      <c r="D75" s="218"/>
    </row>
    <row r="76" spans="1:8">
      <c r="D76" s="218"/>
    </row>
    <row r="77" spans="1:8">
      <c r="D77" s="218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11" sqref="B11"/>
    </sheetView>
  </sheetViews>
  <sheetFormatPr defaultRowHeight="12.75"/>
  <cols>
    <col min="2" max="2" width="43.42578125" customWidth="1"/>
    <col min="3" max="3" width="13.140625" customWidth="1"/>
    <col min="4" max="4" width="12.140625" customWidth="1"/>
    <col min="5" max="5" width="12.7109375" customWidth="1"/>
  </cols>
  <sheetData>
    <row r="1" spans="1:8" ht="23.25">
      <c r="A1" s="485" t="s">
        <v>291</v>
      </c>
      <c r="B1" s="485"/>
      <c r="C1" s="485"/>
      <c r="D1" s="485"/>
      <c r="E1" s="485"/>
    </row>
    <row r="2" spans="1:8" ht="23.25">
      <c r="A2" s="485" t="s">
        <v>286</v>
      </c>
      <c r="B2" s="485"/>
      <c r="C2" s="485"/>
      <c r="D2" s="485"/>
      <c r="E2" s="485"/>
    </row>
    <row r="3" spans="1:8" ht="23.25">
      <c r="A3" s="485" t="s">
        <v>398</v>
      </c>
      <c r="B3" s="485"/>
      <c r="C3" s="485"/>
      <c r="D3" s="485"/>
      <c r="E3" s="485"/>
    </row>
    <row r="4" spans="1:8" ht="23.25">
      <c r="A4" s="219" t="s">
        <v>371</v>
      </c>
      <c r="B4" s="220"/>
      <c r="C4" s="220"/>
      <c r="D4" s="220"/>
      <c r="E4" s="220"/>
    </row>
    <row r="5" spans="1:8" ht="23.25">
      <c r="A5" s="219"/>
      <c r="B5" s="220"/>
      <c r="C5" s="220"/>
      <c r="D5" s="220"/>
      <c r="E5" s="220"/>
    </row>
    <row r="6" spans="1:8" ht="28.5" customHeight="1">
      <c r="A6" s="494" t="s">
        <v>287</v>
      </c>
      <c r="B6" s="494" t="s">
        <v>68</v>
      </c>
      <c r="C6" s="494" t="s">
        <v>288</v>
      </c>
      <c r="D6" s="494" t="s">
        <v>289</v>
      </c>
      <c r="E6" s="494" t="s">
        <v>290</v>
      </c>
    </row>
    <row r="7" spans="1:8" ht="38.25" customHeight="1">
      <c r="A7" s="495"/>
      <c r="B7" s="495"/>
      <c r="C7" s="495"/>
      <c r="D7" s="495"/>
      <c r="E7" s="495"/>
    </row>
    <row r="8" spans="1:8" ht="21.75">
      <c r="A8" s="221"/>
      <c r="B8" s="222"/>
      <c r="C8" s="223"/>
      <c r="D8" s="223"/>
      <c r="E8" s="224"/>
    </row>
    <row r="9" spans="1:8" ht="21.75">
      <c r="A9" s="224"/>
      <c r="B9" s="225"/>
      <c r="C9" s="226"/>
      <c r="D9" s="226"/>
      <c r="E9" s="226"/>
    </row>
    <row r="10" spans="1:8" ht="21.75">
      <c r="A10" s="227"/>
      <c r="B10" s="225"/>
      <c r="C10" s="226"/>
      <c r="D10" s="226"/>
      <c r="E10" s="226"/>
    </row>
    <row r="11" spans="1:8" ht="21.75">
      <c r="A11" s="227"/>
      <c r="B11" s="225"/>
      <c r="C11" s="226"/>
      <c r="D11" s="226"/>
      <c r="E11" s="226"/>
    </row>
    <row r="12" spans="1:8" ht="21.75">
      <c r="A12" s="227"/>
      <c r="B12" s="225"/>
      <c r="C12" s="226"/>
      <c r="D12" s="226"/>
      <c r="E12" s="226"/>
    </row>
    <row r="13" spans="1:8" ht="21.75">
      <c r="A13" s="227"/>
      <c r="B13" s="225"/>
      <c r="C13" s="226"/>
      <c r="D13" s="226"/>
      <c r="E13" s="226"/>
    </row>
    <row r="14" spans="1:8" ht="21.75">
      <c r="A14" s="227"/>
      <c r="B14" s="225"/>
      <c r="C14" s="226"/>
      <c r="D14" s="226"/>
      <c r="E14" s="226"/>
      <c r="H14" s="112"/>
    </row>
    <row r="15" spans="1:8" ht="21.75">
      <c r="A15" s="227"/>
      <c r="B15" s="225"/>
      <c r="C15" s="226"/>
      <c r="D15" s="226"/>
      <c r="E15" s="226"/>
    </row>
    <row r="16" spans="1:8" ht="21.75">
      <c r="A16" s="227"/>
      <c r="B16" s="225"/>
      <c r="C16" s="226"/>
      <c r="D16" s="226"/>
      <c r="E16" s="226"/>
    </row>
    <row r="17" spans="1:8" ht="21.75">
      <c r="A17" s="227"/>
      <c r="B17" s="225"/>
      <c r="C17" s="226"/>
      <c r="D17" s="226"/>
      <c r="E17" s="226"/>
    </row>
    <row r="18" spans="1:8" ht="21.75">
      <c r="A18" s="227"/>
      <c r="B18" s="225"/>
      <c r="C18" s="226"/>
      <c r="D18" s="226"/>
      <c r="E18" s="226"/>
    </row>
    <row r="19" spans="1:8" ht="21.75">
      <c r="A19" s="227"/>
      <c r="B19" s="225"/>
      <c r="C19" s="226"/>
      <c r="D19" s="226"/>
      <c r="E19" s="226"/>
    </row>
    <row r="20" spans="1:8" ht="21.75">
      <c r="A20" s="227"/>
      <c r="B20" s="225"/>
      <c r="C20" s="226"/>
      <c r="D20" s="226"/>
      <c r="E20" s="226"/>
    </row>
    <row r="21" spans="1:8" ht="21.75">
      <c r="A21" s="227"/>
      <c r="B21" s="225"/>
      <c r="C21" s="226"/>
      <c r="D21" s="226"/>
      <c r="E21" s="226"/>
    </row>
    <row r="22" spans="1:8" ht="21.75">
      <c r="A22" s="227"/>
      <c r="B22" s="225"/>
      <c r="C22" s="226"/>
      <c r="D22" s="226"/>
      <c r="E22" s="226"/>
    </row>
    <row r="23" spans="1:8" ht="21.75">
      <c r="A23" s="227"/>
      <c r="B23" s="222"/>
      <c r="C23" s="226"/>
      <c r="D23" s="226"/>
      <c r="E23" s="226"/>
    </row>
    <row r="24" spans="1:8" ht="21.75">
      <c r="A24" s="227"/>
      <c r="B24" s="225"/>
      <c r="C24" s="226"/>
      <c r="D24" s="226"/>
      <c r="E24" s="226"/>
    </row>
    <row r="25" spans="1:8" ht="21.75">
      <c r="A25" s="227"/>
      <c r="B25" s="225"/>
      <c r="C25" s="226"/>
      <c r="D25" s="226"/>
      <c r="E25" s="226"/>
    </row>
    <row r="26" spans="1:8" ht="21.75">
      <c r="A26" s="227"/>
      <c r="B26" s="225"/>
      <c r="C26" s="226"/>
      <c r="D26" s="226"/>
      <c r="E26" s="226"/>
    </row>
    <row r="27" spans="1:8" ht="21.75">
      <c r="A27" s="227"/>
      <c r="B27" s="228"/>
      <c r="C27" s="226"/>
      <c r="D27" s="226"/>
      <c r="E27" s="226"/>
    </row>
    <row r="28" spans="1:8" ht="21.75">
      <c r="A28" s="227"/>
      <c r="B28" s="225"/>
      <c r="C28" s="226"/>
      <c r="D28" s="226"/>
      <c r="E28" s="226"/>
    </row>
    <row r="29" spans="1:8" ht="21.75">
      <c r="A29" s="227"/>
      <c r="B29" s="225"/>
      <c r="C29" s="226"/>
      <c r="D29" s="226"/>
      <c r="E29" s="226"/>
    </row>
    <row r="30" spans="1:8" ht="22.5" thickBot="1">
      <c r="A30" s="492" t="s">
        <v>55</v>
      </c>
      <c r="B30" s="493"/>
      <c r="C30" s="229">
        <f>SUM(C9:C25)</f>
        <v>0</v>
      </c>
      <c r="D30" s="229">
        <f>SUM(D9:D29)</f>
        <v>0</v>
      </c>
      <c r="E30" s="229">
        <f>SUM(E9:E29)</f>
        <v>0</v>
      </c>
      <c r="G30" s="230"/>
      <c r="H30" s="230"/>
    </row>
    <row r="31" spans="1:8" ht="13.5" thickTop="1"/>
    <row r="33" spans="1:5" ht="21.75">
      <c r="A33" s="216"/>
      <c r="B33" s="216"/>
      <c r="C33" s="216"/>
      <c r="D33" s="216"/>
      <c r="E33" s="216"/>
    </row>
    <row r="34" spans="1:5" ht="21.75">
      <c r="A34" s="217"/>
      <c r="B34" s="217"/>
      <c r="C34" s="217"/>
      <c r="D34" s="217"/>
      <c r="E34" s="217"/>
    </row>
    <row r="35" spans="1:5" ht="21.75">
      <c r="A35" s="217"/>
      <c r="B35" s="217"/>
      <c r="C35" s="217"/>
      <c r="D35" s="217"/>
      <c r="E35" s="217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6"/>
  <sheetViews>
    <sheetView topLeftCell="A19" workbookViewId="0">
      <selection activeCell="C11" sqref="C11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98" t="s">
        <v>23</v>
      </c>
      <c r="B1" s="499"/>
      <c r="C1" s="499"/>
      <c r="D1" s="499"/>
      <c r="E1" s="499"/>
      <c r="F1" s="499"/>
      <c r="G1" s="500"/>
      <c r="H1" s="498" t="s">
        <v>24</v>
      </c>
      <c r="I1" s="499"/>
      <c r="J1" s="500"/>
      <c r="K1" s="1"/>
    </row>
    <row r="2" spans="1:12" ht="21.75" customHeight="1">
      <c r="A2" s="501" t="s">
        <v>25</v>
      </c>
      <c r="B2" s="502"/>
      <c r="C2" s="502"/>
      <c r="D2" s="502"/>
      <c r="E2" s="502"/>
      <c r="F2" s="502"/>
      <c r="G2" s="503"/>
      <c r="H2" s="504" t="s">
        <v>165</v>
      </c>
      <c r="I2" s="505"/>
      <c r="J2" s="506"/>
    </row>
    <row r="3" spans="1:12" ht="12.75" customHeight="1">
      <c r="A3" s="3"/>
      <c r="B3" s="4"/>
      <c r="C3" s="5"/>
      <c r="D3" s="6"/>
      <c r="E3" s="5"/>
      <c r="F3" s="5"/>
      <c r="G3" s="7"/>
      <c r="H3" s="507" t="s">
        <v>27</v>
      </c>
      <c r="I3" s="508"/>
      <c r="J3" s="509"/>
    </row>
    <row r="4" spans="1:12" ht="18.75" customHeight="1">
      <c r="A4" s="8"/>
      <c r="B4" s="9" t="s">
        <v>379</v>
      </c>
      <c r="C4" s="9"/>
      <c r="D4" s="9"/>
      <c r="E4" s="510" t="s">
        <v>419</v>
      </c>
      <c r="F4" s="510"/>
      <c r="G4" s="10"/>
      <c r="H4" s="11"/>
      <c r="I4" s="12">
        <v>8653069.8300000001</v>
      </c>
      <c r="J4" s="13"/>
    </row>
    <row r="5" spans="1:12" ht="17.25" customHeight="1">
      <c r="A5" s="8"/>
      <c r="B5" s="14" t="s">
        <v>159</v>
      </c>
      <c r="C5" s="9"/>
      <c r="D5" s="9"/>
      <c r="E5" s="9"/>
      <c r="F5" s="9"/>
      <c r="G5" s="10"/>
      <c r="H5" s="8"/>
      <c r="I5" s="9"/>
      <c r="J5" s="10"/>
      <c r="L5" s="27">
        <f>I4+I7</f>
        <v>8653069.8300000001</v>
      </c>
    </row>
    <row r="6" spans="1:12" ht="16.5" customHeight="1">
      <c r="A6" s="8"/>
      <c r="B6" s="15" t="s">
        <v>29</v>
      </c>
      <c r="C6" s="16"/>
      <c r="D6" s="15" t="s">
        <v>30</v>
      </c>
      <c r="E6" s="16"/>
      <c r="F6" s="17" t="s">
        <v>31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35</v>
      </c>
      <c r="C9" s="9"/>
      <c r="D9" s="9"/>
      <c r="E9" s="9"/>
      <c r="F9" s="9"/>
      <c r="G9" s="10"/>
      <c r="H9" s="8"/>
      <c r="I9" s="9"/>
      <c r="J9" s="10"/>
      <c r="L9" s="90">
        <f>L5-I30</f>
        <v>60100.13000000082</v>
      </c>
    </row>
    <row r="10" spans="1:12" ht="18.95" customHeight="1">
      <c r="A10" s="8"/>
      <c r="B10" s="111"/>
      <c r="C10" s="9"/>
      <c r="D10" s="111" t="s">
        <v>37</v>
      </c>
      <c r="E10" s="9"/>
      <c r="F10" s="19" t="s">
        <v>31</v>
      </c>
      <c r="G10" s="10"/>
      <c r="H10" s="8"/>
      <c r="I10" s="9"/>
      <c r="J10" s="10"/>
    </row>
    <row r="11" spans="1:12" ht="18.95" customHeight="1">
      <c r="A11" s="8"/>
      <c r="B11" s="20" t="s">
        <v>421</v>
      </c>
      <c r="C11" s="365" t="s">
        <v>176</v>
      </c>
      <c r="D11" s="20" t="s">
        <v>420</v>
      </c>
      <c r="E11" s="9"/>
      <c r="F11" s="21">
        <v>380.92</v>
      </c>
      <c r="G11" s="10"/>
      <c r="H11" s="8"/>
      <c r="I11" s="9"/>
      <c r="J11" s="10"/>
    </row>
    <row r="12" spans="1:12" ht="18.95" customHeight="1">
      <c r="A12" s="8"/>
      <c r="B12" s="20" t="s">
        <v>421</v>
      </c>
      <c r="C12" s="376" t="s">
        <v>176</v>
      </c>
      <c r="D12" s="20" t="s">
        <v>422</v>
      </c>
      <c r="E12" s="9"/>
      <c r="F12" s="110">
        <v>17415.8</v>
      </c>
      <c r="G12" s="10"/>
      <c r="H12" s="8"/>
      <c r="I12" s="9"/>
      <c r="J12" s="10"/>
    </row>
    <row r="13" spans="1:12" ht="18.95" customHeight="1">
      <c r="A13" s="8"/>
      <c r="B13" s="20" t="s">
        <v>421</v>
      </c>
      <c r="C13" s="376" t="s">
        <v>176</v>
      </c>
      <c r="D13" s="20" t="s">
        <v>423</v>
      </c>
      <c r="E13" s="9"/>
      <c r="F13" s="21">
        <v>24246</v>
      </c>
      <c r="G13" s="10"/>
      <c r="H13" s="8"/>
      <c r="I13" s="59"/>
      <c r="J13" s="10"/>
    </row>
    <row r="14" spans="1:12" ht="18.95" customHeight="1">
      <c r="A14" s="8"/>
      <c r="B14" s="20" t="s">
        <v>424</v>
      </c>
      <c r="C14" s="384" t="s">
        <v>176</v>
      </c>
      <c r="D14" s="20" t="s">
        <v>425</v>
      </c>
      <c r="E14" s="9"/>
      <c r="F14" s="21">
        <v>1389</v>
      </c>
      <c r="G14" s="10"/>
      <c r="H14" s="8"/>
      <c r="I14" s="122">
        <f>SUM(F11:F21)</f>
        <v>59500.130000000005</v>
      </c>
      <c r="J14" s="10"/>
    </row>
    <row r="15" spans="1:12" ht="18.95" customHeight="1">
      <c r="A15" s="8"/>
      <c r="B15" s="20" t="s">
        <v>424</v>
      </c>
      <c r="C15" s="384" t="s">
        <v>176</v>
      </c>
      <c r="D15" s="20" t="s">
        <v>426</v>
      </c>
      <c r="E15" s="9"/>
      <c r="F15" s="21">
        <v>16068.41</v>
      </c>
      <c r="G15" s="10"/>
      <c r="H15" s="8"/>
      <c r="I15" s="9"/>
      <c r="J15" s="10"/>
    </row>
    <row r="16" spans="1:12" ht="18.95" customHeight="1">
      <c r="A16" s="8"/>
      <c r="B16" s="20"/>
      <c r="C16" s="376"/>
      <c r="D16" s="20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375"/>
      <c r="D17" s="20"/>
      <c r="E17" s="9"/>
      <c r="F17" s="21"/>
      <c r="G17" s="10"/>
      <c r="H17" s="8"/>
      <c r="J17" s="10"/>
      <c r="L17" s="27">
        <f>I4-I30</f>
        <v>60100.13000000082</v>
      </c>
    </row>
    <row r="18" spans="1:12" ht="18.95" customHeight="1">
      <c r="A18" s="8"/>
      <c r="B18" s="20"/>
      <c r="C18" s="368"/>
      <c r="D18" s="20"/>
      <c r="E18" s="9"/>
      <c r="F18" s="21"/>
      <c r="G18" s="10"/>
      <c r="H18" s="8"/>
      <c r="I18" s="59"/>
      <c r="J18" s="10"/>
      <c r="L18" s="27"/>
    </row>
    <row r="19" spans="1:12" ht="18.95" customHeight="1">
      <c r="A19" s="8"/>
      <c r="B19" s="20"/>
      <c r="C19" s="368"/>
      <c r="D19" s="20"/>
      <c r="E19" s="9"/>
      <c r="F19" s="21"/>
      <c r="G19" s="10"/>
      <c r="H19" s="8"/>
      <c r="I19" s="59"/>
      <c r="J19" s="10"/>
      <c r="L19" s="27"/>
    </row>
    <row r="20" spans="1:12" ht="18.95" customHeight="1">
      <c r="A20" s="8"/>
      <c r="B20" s="20"/>
      <c r="C20" s="368"/>
      <c r="D20" s="20"/>
      <c r="E20" s="9"/>
      <c r="F20" s="21"/>
      <c r="G20" s="10"/>
      <c r="H20" s="8"/>
      <c r="I20" s="59"/>
      <c r="J20" s="10"/>
      <c r="L20" s="27">
        <f>SUM(F19:F21)</f>
        <v>0</v>
      </c>
    </row>
    <row r="21" spans="1:12" ht="18.95" customHeight="1">
      <c r="A21" s="8"/>
      <c r="B21" s="20"/>
      <c r="C21" s="368"/>
      <c r="D21" s="20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111"/>
      <c r="D22" s="109"/>
      <c r="E22" s="9"/>
      <c r="F22" s="110"/>
      <c r="G22" s="10"/>
      <c r="H22" s="8"/>
      <c r="I22" s="9"/>
      <c r="J22" s="10"/>
    </row>
    <row r="23" spans="1:12" ht="18.95" customHeight="1">
      <c r="A23" s="8"/>
      <c r="B23" s="14" t="s">
        <v>38</v>
      </c>
      <c r="C23" s="111"/>
      <c r="D23" s="109"/>
      <c r="E23" s="9"/>
      <c r="F23" s="110"/>
      <c r="G23" s="10"/>
      <c r="H23" s="8"/>
      <c r="I23" s="9"/>
      <c r="J23" s="10"/>
    </row>
    <row r="24" spans="1:12" ht="18.95" customHeight="1">
      <c r="A24" s="8"/>
      <c r="B24" s="14" t="s">
        <v>427</v>
      </c>
      <c r="C24" s="111"/>
      <c r="D24" s="109"/>
      <c r="E24" s="9"/>
      <c r="F24" s="110"/>
      <c r="G24" s="10"/>
      <c r="H24" s="8"/>
      <c r="I24" s="9"/>
      <c r="J24" s="10"/>
    </row>
    <row r="25" spans="1:12" ht="18.95" customHeight="1">
      <c r="A25" s="8"/>
      <c r="B25" s="384" t="s">
        <v>428</v>
      </c>
      <c r="C25" s="111"/>
      <c r="D25" s="109"/>
      <c r="E25" s="9"/>
      <c r="F25" s="110">
        <v>600</v>
      </c>
      <c r="G25" s="22">
        <f>SUM(F13)</f>
        <v>24246</v>
      </c>
      <c r="H25" s="8"/>
      <c r="I25" s="23">
        <v>600</v>
      </c>
      <c r="J25" s="10"/>
      <c r="K25" s="24"/>
    </row>
    <row r="26" spans="1:12">
      <c r="A26" s="8"/>
      <c r="B26" s="367" t="s">
        <v>386</v>
      </c>
      <c r="C26" s="366"/>
      <c r="D26" s="109"/>
      <c r="E26" s="9"/>
      <c r="F26" s="110"/>
      <c r="G26" s="10"/>
      <c r="H26" s="8"/>
      <c r="I26" s="9"/>
      <c r="J26" s="10"/>
    </row>
    <row r="27" spans="1:12">
      <c r="A27" s="8"/>
      <c r="B27" s="20"/>
      <c r="C27" s="111"/>
      <c r="D27" s="109"/>
      <c r="E27" s="9"/>
      <c r="F27" s="110"/>
      <c r="G27" s="10"/>
      <c r="H27" s="8"/>
      <c r="I27" s="9"/>
      <c r="J27" s="10"/>
    </row>
    <row r="28" spans="1:12" ht="21" customHeight="1">
      <c r="A28" s="8"/>
      <c r="B28" s="20"/>
      <c r="C28" s="111"/>
      <c r="D28" s="109"/>
      <c r="E28" s="9"/>
      <c r="F28" s="21"/>
      <c r="G28" s="10"/>
      <c r="H28" s="8"/>
      <c r="I28" s="12"/>
      <c r="J28" s="10"/>
    </row>
    <row r="29" spans="1:12" ht="21" customHeight="1">
      <c r="A29" s="8"/>
      <c r="B29" s="20"/>
      <c r="C29" s="111"/>
      <c r="D29" s="15"/>
      <c r="E29" s="16"/>
      <c r="F29" s="98"/>
      <c r="G29" s="10"/>
      <c r="H29" s="8"/>
      <c r="J29" s="10"/>
    </row>
    <row r="30" spans="1:12" ht="21.75" customHeight="1">
      <c r="A30" s="28"/>
      <c r="B30" s="29" t="s">
        <v>380</v>
      </c>
      <c r="C30" s="29"/>
      <c r="D30" s="29"/>
      <c r="E30" s="511" t="str">
        <f>E4</f>
        <v xml:space="preserve"> 30 พฤศจิกายน 2556</v>
      </c>
      <c r="F30" s="511"/>
      <c r="G30" s="31"/>
      <c r="H30" s="28"/>
      <c r="I30" s="12">
        <f>I4-I14-I25</f>
        <v>8592969.6999999993</v>
      </c>
      <c r="J30" s="30"/>
      <c r="L30" s="24"/>
    </row>
    <row r="31" spans="1:12" ht="32.25" customHeight="1">
      <c r="A31" s="3"/>
      <c r="B31" s="5" t="s">
        <v>41</v>
      </c>
      <c r="C31" s="5"/>
      <c r="D31" s="5"/>
      <c r="E31" s="7"/>
      <c r="F31" s="3" t="s">
        <v>42</v>
      </c>
      <c r="G31" s="5"/>
      <c r="H31" s="5"/>
      <c r="I31" s="5"/>
      <c r="J31" s="7"/>
    </row>
    <row r="32" spans="1:12">
      <c r="A32" s="8"/>
      <c r="B32" s="496" t="s">
        <v>392</v>
      </c>
      <c r="C32" s="496"/>
      <c r="D32" s="496"/>
      <c r="E32" s="10"/>
      <c r="F32" s="497" t="s">
        <v>183</v>
      </c>
      <c r="G32" s="496"/>
      <c r="H32" s="496"/>
      <c r="I32" s="496"/>
      <c r="J32" s="10"/>
    </row>
    <row r="33" spans="1:12">
      <c r="A33" s="8"/>
      <c r="B33" s="496" t="s">
        <v>182</v>
      </c>
      <c r="C33" s="496"/>
      <c r="D33" s="496"/>
      <c r="E33" s="10"/>
      <c r="F33" s="497" t="s">
        <v>59</v>
      </c>
      <c r="G33" s="496"/>
      <c r="H33" s="496"/>
      <c r="I33" s="496"/>
      <c r="J33" s="10"/>
      <c r="L33" s="24"/>
    </row>
    <row r="34" spans="1:12">
      <c r="A34" s="28"/>
      <c r="B34" s="505" t="s">
        <v>185</v>
      </c>
      <c r="C34" s="505"/>
      <c r="D34" s="505"/>
      <c r="E34" s="31"/>
      <c r="F34" s="504" t="s">
        <v>184</v>
      </c>
      <c r="G34" s="505"/>
      <c r="H34" s="505"/>
      <c r="I34" s="505"/>
      <c r="J34" s="31"/>
    </row>
    <row r="35" spans="1:12" ht="20.100000000000001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2" ht="20.100000000000001" customHeight="1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2" ht="20.100000000000001" customHeight="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2" ht="20.100000000000001" customHeight="1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8"/>
      <c r="B53" s="9"/>
      <c r="C53" s="9"/>
      <c r="D53" s="9"/>
      <c r="E53" s="9"/>
      <c r="F53" s="9"/>
      <c r="G53" s="9"/>
      <c r="H53" s="9"/>
      <c r="I53" s="9"/>
      <c r="J53" s="10"/>
    </row>
    <row r="54" spans="1:11" ht="20.100000000000001" customHeight="1">
      <c r="A54" s="8"/>
      <c r="B54" s="9"/>
      <c r="C54" s="9"/>
      <c r="D54" s="9"/>
      <c r="E54" s="9"/>
      <c r="F54" s="9"/>
      <c r="G54" s="9"/>
      <c r="H54" s="9"/>
      <c r="I54" s="9"/>
      <c r="J54" s="10"/>
    </row>
    <row r="55" spans="1:11" ht="21.75" customHeight="1">
      <c r="A55" s="498" t="s">
        <v>23</v>
      </c>
      <c r="B55" s="499"/>
      <c r="C55" s="499"/>
      <c r="D55" s="499"/>
      <c r="E55" s="499"/>
      <c r="F55" s="499"/>
      <c r="G55" s="500"/>
      <c r="H55" s="498" t="s">
        <v>24</v>
      </c>
      <c r="I55" s="499"/>
      <c r="J55" s="500"/>
      <c r="K55" s="1"/>
    </row>
    <row r="56" spans="1:11" ht="21.75" customHeight="1">
      <c r="A56" s="501" t="s">
        <v>25</v>
      </c>
      <c r="B56" s="502"/>
      <c r="C56" s="502"/>
      <c r="D56" s="502"/>
      <c r="E56" s="502"/>
      <c r="F56" s="502"/>
      <c r="G56" s="503"/>
      <c r="H56" s="504" t="s">
        <v>89</v>
      </c>
      <c r="I56" s="505"/>
      <c r="J56" s="506"/>
    </row>
    <row r="57" spans="1:11" ht="14.25" customHeight="1">
      <c r="A57" s="3"/>
      <c r="B57" s="4"/>
      <c r="C57" s="5"/>
      <c r="D57" s="6"/>
      <c r="E57" s="5"/>
      <c r="F57" s="5"/>
      <c r="G57" s="7"/>
      <c r="H57" s="507" t="s">
        <v>27</v>
      </c>
      <c r="I57" s="508"/>
      <c r="J57" s="509"/>
    </row>
    <row r="58" spans="1:11" ht="18.75" customHeight="1">
      <c r="A58" s="8"/>
      <c r="B58" s="9" t="s">
        <v>87</v>
      </c>
      <c r="C58" s="9"/>
      <c r="D58" s="9"/>
      <c r="E58" s="9"/>
      <c r="F58" s="9"/>
      <c r="G58" s="10"/>
      <c r="H58" s="11"/>
      <c r="I58" s="12">
        <v>6532376.5499999998</v>
      </c>
      <c r="J58" s="13"/>
    </row>
    <row r="59" spans="1:11" ht="17.25" customHeight="1">
      <c r="A59" s="8"/>
      <c r="B59" s="14" t="s">
        <v>28</v>
      </c>
      <c r="C59" s="9"/>
      <c r="D59" s="9"/>
      <c r="E59" s="9"/>
      <c r="F59" s="9"/>
      <c r="G59" s="10"/>
      <c r="H59" s="8"/>
      <c r="I59" s="9"/>
      <c r="J59" s="10"/>
    </row>
    <row r="60" spans="1:11" ht="16.5" customHeight="1">
      <c r="A60" s="8"/>
      <c r="B60" s="15" t="s">
        <v>29</v>
      </c>
      <c r="C60" s="16"/>
      <c r="D60" s="15" t="s">
        <v>30</v>
      </c>
      <c r="E60" s="16"/>
      <c r="F60" s="17" t="s">
        <v>31</v>
      </c>
      <c r="G60" s="10"/>
      <c r="H60" s="8"/>
      <c r="I60" s="9"/>
      <c r="J60" s="10"/>
    </row>
    <row r="61" spans="1:11" ht="16.5" customHeight="1">
      <c r="A61" s="8"/>
      <c r="B61" s="18" t="s">
        <v>32</v>
      </c>
      <c r="C61" s="9"/>
      <c r="D61" s="18" t="s">
        <v>32</v>
      </c>
      <c r="E61" s="9"/>
      <c r="F61" s="18" t="s">
        <v>33</v>
      </c>
      <c r="G61" s="10"/>
      <c r="H61" s="8"/>
      <c r="I61" s="9" t="s">
        <v>34</v>
      </c>
      <c r="J61" s="10"/>
    </row>
    <row r="62" spans="1:11" ht="16.5" customHeight="1">
      <c r="A62" s="8"/>
      <c r="B62" s="18" t="s">
        <v>32</v>
      </c>
      <c r="C62" s="9"/>
      <c r="D62" s="18" t="s">
        <v>32</v>
      </c>
      <c r="E62" s="9"/>
      <c r="F62" s="18" t="s">
        <v>33</v>
      </c>
      <c r="G62" s="10"/>
      <c r="H62" s="8"/>
      <c r="I62" s="9" t="s">
        <v>34</v>
      </c>
      <c r="J62" s="10"/>
    </row>
    <row r="63" spans="1:11">
      <c r="A63" s="8"/>
      <c r="B63" s="14" t="s">
        <v>35</v>
      </c>
      <c r="C63" s="9"/>
      <c r="D63" s="9"/>
      <c r="E63" s="9"/>
      <c r="F63" s="9"/>
      <c r="G63" s="10"/>
      <c r="H63" s="8"/>
      <c r="I63" s="9"/>
      <c r="J63" s="10"/>
    </row>
    <row r="64" spans="1:11" ht="18.95" customHeight="1">
      <c r="A64" s="8"/>
      <c r="B64" s="111" t="s">
        <v>36</v>
      </c>
      <c r="C64" s="9"/>
      <c r="D64" s="111" t="s">
        <v>37</v>
      </c>
      <c r="E64" s="9"/>
      <c r="F64" s="19" t="s">
        <v>31</v>
      </c>
      <c r="G64" s="10"/>
      <c r="H64" s="8"/>
      <c r="I64" s="9"/>
      <c r="J64" s="10"/>
    </row>
    <row r="65" spans="1:11" ht="18.95" customHeight="1">
      <c r="A65" s="8"/>
      <c r="B65" s="20"/>
      <c r="C65" s="9"/>
      <c r="D65" s="20"/>
      <c r="E65" s="9"/>
      <c r="F65" s="21"/>
      <c r="G65" s="22"/>
      <c r="H65" s="8"/>
      <c r="I65" s="23"/>
      <c r="J65" s="10"/>
      <c r="K65" s="24"/>
    </row>
    <row r="66" spans="1:11" ht="18.95" customHeight="1">
      <c r="A66" s="8"/>
      <c r="B66" s="20"/>
      <c r="C66" s="9"/>
      <c r="D66" s="20"/>
      <c r="E66" s="9"/>
      <c r="F66" s="21"/>
      <c r="G66" s="22"/>
      <c r="H66" s="8"/>
      <c r="I66" s="23"/>
      <c r="J66" s="10"/>
      <c r="K66" s="24"/>
    </row>
    <row r="67" spans="1:11" ht="18.95" customHeight="1">
      <c r="A67" s="8"/>
      <c r="B67" s="20"/>
      <c r="C67" s="9"/>
      <c r="D67" s="20"/>
      <c r="E67" s="9"/>
      <c r="F67" s="21"/>
      <c r="G67" s="22"/>
      <c r="H67" s="8"/>
      <c r="I67" s="23"/>
      <c r="J67" s="10"/>
      <c r="K67" s="24"/>
    </row>
    <row r="68" spans="1:11" ht="18.95" customHeight="1">
      <c r="A68" s="8"/>
      <c r="B68" s="20"/>
      <c r="C68" s="9"/>
      <c r="D68" s="20"/>
      <c r="E68" s="9"/>
      <c r="F68" s="21"/>
      <c r="G68" s="22"/>
      <c r="H68" s="9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9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9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>
        <v>12158.25</v>
      </c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9"/>
      <c r="J76" s="10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9"/>
      <c r="J77" s="10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9"/>
      <c r="J78" s="10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5"/>
      <c r="G80" s="10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5"/>
      <c r="G81" s="10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5"/>
      <c r="G82" s="10"/>
      <c r="H82" s="9"/>
      <c r="I82" s="9"/>
      <c r="J82" s="10"/>
    </row>
    <row r="83" spans="1:12" ht="18.95" customHeight="1">
      <c r="A83" s="8"/>
      <c r="B83" s="20"/>
      <c r="D83" s="20"/>
      <c r="F83" s="26"/>
      <c r="G83" s="10"/>
      <c r="I83" s="27"/>
      <c r="J83" s="10"/>
    </row>
    <row r="84" spans="1:12">
      <c r="A84" s="8"/>
      <c r="B84" s="14" t="s">
        <v>38</v>
      </c>
      <c r="C84" s="9"/>
      <c r="D84" s="9"/>
      <c r="E84" s="9"/>
      <c r="F84" s="9"/>
      <c r="G84" s="10"/>
      <c r="H84" s="8"/>
      <c r="I84" s="9"/>
      <c r="J84" s="10"/>
    </row>
    <row r="85" spans="1:12">
      <c r="A85" s="8"/>
      <c r="B85" s="14" t="s">
        <v>39</v>
      </c>
      <c r="C85" s="9"/>
      <c r="D85" s="9"/>
      <c r="E85" s="9"/>
      <c r="F85" s="9"/>
      <c r="G85" s="10"/>
      <c r="H85" s="8"/>
      <c r="I85" s="9"/>
      <c r="J85" s="10"/>
      <c r="L85" s="2">
        <f>SUM(L76)</f>
        <v>0</v>
      </c>
    </row>
    <row r="86" spans="1:12" ht="19.5" customHeight="1">
      <c r="A86" s="8"/>
      <c r="B86" s="18" t="s">
        <v>40</v>
      </c>
      <c r="C86" s="9"/>
      <c r="D86" s="18" t="s">
        <v>32</v>
      </c>
      <c r="E86" s="9"/>
      <c r="F86" s="18" t="s">
        <v>33</v>
      </c>
      <c r="G86" s="10"/>
      <c r="H86" s="8"/>
      <c r="I86" s="9" t="s">
        <v>34</v>
      </c>
      <c r="J86" s="10"/>
    </row>
    <row r="87" spans="1:12" ht="16.5" customHeight="1">
      <c r="A87" s="8"/>
      <c r="B87" s="18" t="s">
        <v>32</v>
      </c>
      <c r="C87" s="9"/>
      <c r="D87" s="18" t="s">
        <v>32</v>
      </c>
      <c r="E87" s="9"/>
      <c r="F87" s="18" t="s">
        <v>33</v>
      </c>
      <c r="G87" s="10"/>
      <c r="H87" s="8"/>
      <c r="I87" s="9" t="s">
        <v>34</v>
      </c>
      <c r="J87" s="10"/>
    </row>
    <row r="88" spans="1:12" ht="21.75" customHeight="1">
      <c r="A88" s="28"/>
      <c r="B88" s="29" t="s">
        <v>88</v>
      </c>
      <c r="C88" s="29"/>
      <c r="D88" s="29"/>
      <c r="E88" s="29"/>
      <c r="F88" s="29"/>
      <c r="G88" s="31"/>
      <c r="H88" s="28"/>
      <c r="I88" s="12">
        <v>6520225.8099999996</v>
      </c>
      <c r="J88" s="30"/>
    </row>
    <row r="89" spans="1:12" ht="32.25" customHeight="1">
      <c r="A89" s="8"/>
      <c r="B89" s="9" t="s">
        <v>41</v>
      </c>
      <c r="C89" s="9"/>
      <c r="D89" s="9"/>
      <c r="E89" s="9"/>
      <c r="F89" s="3" t="s">
        <v>42</v>
      </c>
      <c r="G89" s="5"/>
      <c r="H89" s="5"/>
      <c r="I89" s="5"/>
      <c r="J89" s="7"/>
    </row>
    <row r="90" spans="1:12">
      <c r="A90" s="8"/>
      <c r="B90" s="9" t="s">
        <v>43</v>
      </c>
      <c r="C90" s="9"/>
      <c r="D90" s="9" t="s">
        <v>44</v>
      </c>
      <c r="E90" s="9"/>
      <c r="F90" s="8" t="s">
        <v>84</v>
      </c>
      <c r="G90" s="9"/>
      <c r="I90" s="9" t="s">
        <v>85</v>
      </c>
      <c r="J90" s="10"/>
    </row>
    <row r="91" spans="1:12" ht="27" customHeight="1">
      <c r="A91" s="28"/>
      <c r="B91" s="29" t="s">
        <v>45</v>
      </c>
      <c r="C91" s="29"/>
      <c r="D91" s="29"/>
      <c r="E91" s="29"/>
      <c r="F91" s="28" t="s">
        <v>46</v>
      </c>
      <c r="G91" s="29"/>
      <c r="H91" s="29"/>
      <c r="I91" s="29"/>
      <c r="J91" s="31"/>
    </row>
    <row r="92" spans="1:12" ht="21.75" customHeight="1">
      <c r="A92" s="498" t="s">
        <v>23</v>
      </c>
      <c r="B92" s="499"/>
      <c r="C92" s="499"/>
      <c r="D92" s="499"/>
      <c r="E92" s="499"/>
      <c r="F92" s="499"/>
      <c r="G92" s="500"/>
      <c r="H92" s="498" t="s">
        <v>24</v>
      </c>
      <c r="I92" s="499"/>
      <c r="J92" s="500"/>
      <c r="K92" s="1"/>
    </row>
    <row r="93" spans="1:12" ht="21.75" customHeight="1">
      <c r="A93" s="501" t="s">
        <v>25</v>
      </c>
      <c r="B93" s="502"/>
      <c r="C93" s="502"/>
      <c r="D93" s="502"/>
      <c r="E93" s="502"/>
      <c r="F93" s="502"/>
      <c r="G93" s="503"/>
      <c r="H93" s="504" t="s">
        <v>26</v>
      </c>
      <c r="I93" s="505"/>
      <c r="J93" s="506"/>
    </row>
    <row r="94" spans="1:12" ht="14.25" customHeight="1">
      <c r="A94" s="3"/>
      <c r="B94" s="4"/>
      <c r="C94" s="5"/>
      <c r="D94" s="6"/>
      <c r="E94" s="5"/>
      <c r="F94" s="5"/>
      <c r="G94" s="7"/>
      <c r="H94" s="507" t="s">
        <v>27</v>
      </c>
      <c r="I94" s="508"/>
      <c r="J94" s="509"/>
    </row>
    <row r="95" spans="1:12" ht="18.75" customHeight="1">
      <c r="A95" s="8"/>
      <c r="B95" s="9" t="s">
        <v>91</v>
      </c>
      <c r="C95" s="9"/>
      <c r="D95" s="9"/>
      <c r="E95" s="9"/>
      <c r="F95" s="9"/>
      <c r="G95" s="10"/>
      <c r="H95" s="11"/>
      <c r="I95" s="12">
        <v>8889423.5899999999</v>
      </c>
      <c r="J95" s="13"/>
    </row>
    <row r="96" spans="1:12" ht="17.25" customHeight="1">
      <c r="A96" s="8"/>
      <c r="B96" s="14" t="s">
        <v>28</v>
      </c>
      <c r="C96" s="9"/>
      <c r="D96" s="9"/>
      <c r="E96" s="9"/>
      <c r="F96" s="9"/>
      <c r="G96" s="10"/>
      <c r="H96" s="8"/>
      <c r="I96" s="9"/>
      <c r="J96" s="10"/>
    </row>
    <row r="97" spans="1:11" ht="16.5" customHeight="1">
      <c r="A97" s="8"/>
      <c r="B97" s="15" t="s">
        <v>29</v>
      </c>
      <c r="C97" s="16"/>
      <c r="D97" s="15" t="s">
        <v>30</v>
      </c>
      <c r="E97" s="16"/>
      <c r="F97" s="17" t="s">
        <v>31</v>
      </c>
      <c r="G97" s="10"/>
      <c r="H97" s="8"/>
      <c r="I97" s="9"/>
      <c r="J97" s="10"/>
    </row>
    <row r="98" spans="1:11" ht="16.5" customHeight="1">
      <c r="A98" s="8"/>
      <c r="B98" s="18" t="s">
        <v>32</v>
      </c>
      <c r="C98" s="9"/>
      <c r="D98" s="18" t="s">
        <v>32</v>
      </c>
      <c r="E98" s="9"/>
      <c r="F98" s="18" t="s">
        <v>33</v>
      </c>
      <c r="G98" s="10"/>
      <c r="H98" s="8"/>
      <c r="I98" s="9" t="s">
        <v>34</v>
      </c>
      <c r="J98" s="10"/>
    </row>
    <row r="99" spans="1:11" ht="16.5" customHeight="1">
      <c r="A99" s="8"/>
      <c r="B99" s="18" t="s">
        <v>32</v>
      </c>
      <c r="C99" s="9"/>
      <c r="D99" s="18" t="s">
        <v>32</v>
      </c>
      <c r="E99" s="9"/>
      <c r="F99" s="18" t="s">
        <v>33</v>
      </c>
      <c r="G99" s="10"/>
      <c r="H99" s="8"/>
      <c r="I99" s="9" t="s">
        <v>34</v>
      </c>
      <c r="J99" s="10"/>
    </row>
    <row r="100" spans="1:11">
      <c r="A100" s="8"/>
      <c r="B100" s="14" t="s">
        <v>35</v>
      </c>
      <c r="C100" s="9"/>
      <c r="D100" s="9"/>
      <c r="E100" s="9"/>
      <c r="F100" s="9"/>
      <c r="G100" s="10"/>
      <c r="H100" s="8"/>
      <c r="I100" s="9"/>
      <c r="J100" s="10"/>
    </row>
    <row r="101" spans="1:11" ht="18.95" customHeight="1">
      <c r="A101" s="8"/>
      <c r="B101" s="111" t="s">
        <v>36</v>
      </c>
      <c r="C101" s="9"/>
      <c r="D101" s="111" t="s">
        <v>37</v>
      </c>
      <c r="E101" s="9"/>
      <c r="F101" s="19" t="s">
        <v>31</v>
      </c>
      <c r="G101" s="10"/>
      <c r="H101" s="8"/>
      <c r="I101" s="9"/>
      <c r="J101" s="10"/>
    </row>
    <row r="102" spans="1:11" ht="18.95" customHeight="1">
      <c r="A102" s="8"/>
      <c r="B102" s="20" t="s">
        <v>86</v>
      </c>
      <c r="C102" s="9"/>
      <c r="D102" s="111" t="s">
        <v>90</v>
      </c>
      <c r="E102" s="9"/>
      <c r="F102" s="21">
        <v>450</v>
      </c>
      <c r="G102" s="22"/>
      <c r="H102" s="8"/>
      <c r="I102" s="23"/>
      <c r="J102" s="10"/>
      <c r="K102" s="24"/>
    </row>
    <row r="103" spans="1:11" ht="18.95" customHeight="1">
      <c r="A103" s="8"/>
      <c r="B103" s="20" t="s">
        <v>92</v>
      </c>
      <c r="C103" s="9"/>
      <c r="D103" s="111" t="s">
        <v>96</v>
      </c>
      <c r="E103" s="9"/>
      <c r="F103" s="21">
        <v>4084</v>
      </c>
      <c r="G103" s="22"/>
      <c r="H103" s="8"/>
      <c r="I103" s="23"/>
      <c r="J103" s="10"/>
      <c r="K103" s="24"/>
    </row>
    <row r="104" spans="1:11" ht="18.95" customHeight="1">
      <c r="A104" s="8"/>
      <c r="B104" s="20" t="s">
        <v>92</v>
      </c>
      <c r="C104" s="9"/>
      <c r="D104" s="111" t="s">
        <v>97</v>
      </c>
      <c r="E104" s="9"/>
      <c r="F104" s="21">
        <v>5517.95</v>
      </c>
      <c r="G104" s="22"/>
      <c r="H104" s="8"/>
      <c r="I104" s="23"/>
      <c r="J104" s="10"/>
      <c r="K104" s="24"/>
    </row>
    <row r="105" spans="1:11" ht="18.95" customHeight="1">
      <c r="A105" s="8"/>
      <c r="B105" s="20" t="s">
        <v>92</v>
      </c>
      <c r="C105" s="9"/>
      <c r="D105" s="111" t="s">
        <v>97</v>
      </c>
      <c r="E105" s="9"/>
      <c r="F105" s="21">
        <v>400</v>
      </c>
      <c r="G105" s="22"/>
      <c r="H105" s="9"/>
      <c r="I105" s="23"/>
      <c r="J105" s="10"/>
      <c r="K105" s="24"/>
    </row>
    <row r="106" spans="1:11" ht="18.95" customHeight="1">
      <c r="A106" s="8"/>
      <c r="B106" s="20" t="s">
        <v>92</v>
      </c>
      <c r="D106" s="111" t="s">
        <v>97</v>
      </c>
      <c r="F106" s="26">
        <v>2555.89</v>
      </c>
      <c r="G106" s="10"/>
      <c r="I106" s="27"/>
      <c r="J106" s="10"/>
    </row>
    <row r="107" spans="1:11" ht="18.95" customHeight="1">
      <c r="A107" s="8"/>
      <c r="B107" s="20" t="s">
        <v>93</v>
      </c>
      <c r="C107" s="9"/>
      <c r="D107" s="111" t="s">
        <v>98</v>
      </c>
      <c r="E107" s="9"/>
      <c r="F107" s="21">
        <v>1050</v>
      </c>
      <c r="G107" s="22"/>
      <c r="H107" s="9"/>
      <c r="I107" s="23"/>
      <c r="J107" s="10"/>
      <c r="K107" s="24"/>
    </row>
    <row r="108" spans="1:11" ht="18.95" customHeight="1">
      <c r="A108" s="8"/>
      <c r="B108" s="20" t="s">
        <v>93</v>
      </c>
      <c r="C108" s="9"/>
      <c r="D108" s="111" t="s">
        <v>99</v>
      </c>
      <c r="E108" s="9"/>
      <c r="F108" s="21">
        <v>1300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93</v>
      </c>
      <c r="C109" s="9"/>
      <c r="D109" s="111" t="s">
        <v>100</v>
      </c>
      <c r="E109" s="9"/>
      <c r="F109" s="21">
        <v>1200</v>
      </c>
      <c r="G109" s="22"/>
      <c r="H109" s="9"/>
      <c r="I109" s="23"/>
      <c r="J109" s="10"/>
      <c r="K109" s="24"/>
    </row>
    <row r="110" spans="1:11" ht="18.95" customHeight="1">
      <c r="A110" s="8"/>
      <c r="B110" s="20" t="s">
        <v>93</v>
      </c>
      <c r="C110" s="9"/>
      <c r="D110" s="111" t="s">
        <v>101</v>
      </c>
      <c r="E110" s="9"/>
      <c r="F110" s="21">
        <v>29447.200000000001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94</v>
      </c>
      <c r="C111" s="9"/>
      <c r="D111" s="111" t="s">
        <v>102</v>
      </c>
      <c r="E111" s="9"/>
      <c r="F111" s="21">
        <v>6395.4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94</v>
      </c>
      <c r="C112" s="9"/>
      <c r="D112" s="111" t="s">
        <v>104</v>
      </c>
      <c r="E112" s="9"/>
      <c r="F112" s="21">
        <v>4284.33</v>
      </c>
      <c r="G112" s="22"/>
      <c r="H112" s="9"/>
      <c r="I112" s="59"/>
      <c r="J112" s="10"/>
      <c r="K112" s="24"/>
    </row>
    <row r="113" spans="1:12" ht="18.95" customHeight="1">
      <c r="A113" s="8"/>
      <c r="B113" s="20" t="s">
        <v>94</v>
      </c>
      <c r="C113" s="9"/>
      <c r="D113" s="111" t="s">
        <v>104</v>
      </c>
      <c r="E113" s="9"/>
      <c r="F113" s="21">
        <v>20256.560000000001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94</v>
      </c>
      <c r="C114" s="9"/>
      <c r="D114" s="111" t="s">
        <v>105</v>
      </c>
      <c r="E114" s="9"/>
      <c r="F114" s="21">
        <v>10897.92</v>
      </c>
      <c r="G114" s="22"/>
      <c r="H114" s="9"/>
      <c r="I114" s="9"/>
      <c r="J114" s="10"/>
    </row>
    <row r="115" spans="1:12" ht="18.95" customHeight="1">
      <c r="A115" s="8"/>
      <c r="B115" s="20" t="s">
        <v>94</v>
      </c>
      <c r="C115" s="9"/>
      <c r="D115" s="111" t="s">
        <v>106</v>
      </c>
      <c r="E115" s="9"/>
      <c r="F115" s="21">
        <v>4128</v>
      </c>
      <c r="G115" s="22"/>
      <c r="H115" s="9"/>
      <c r="I115" s="9"/>
      <c r="J115" s="10"/>
    </row>
    <row r="116" spans="1:12" ht="18.95" customHeight="1">
      <c r="A116" s="8"/>
      <c r="B116" s="20" t="s">
        <v>94</v>
      </c>
      <c r="C116" s="9"/>
      <c r="D116" s="111" t="s">
        <v>107</v>
      </c>
      <c r="E116" s="9"/>
      <c r="F116" s="21">
        <v>600</v>
      </c>
      <c r="G116" s="22"/>
      <c r="H116" s="9"/>
      <c r="I116" s="9"/>
      <c r="J116" s="10"/>
      <c r="L116" s="2">
        <v>119520</v>
      </c>
    </row>
    <row r="117" spans="1:12" ht="18.95" customHeight="1">
      <c r="A117" s="8"/>
      <c r="B117" s="20" t="s">
        <v>94</v>
      </c>
      <c r="C117" s="9"/>
      <c r="D117" s="111" t="s">
        <v>108</v>
      </c>
      <c r="E117" s="9"/>
      <c r="F117" s="21">
        <v>6784</v>
      </c>
      <c r="G117" s="22"/>
      <c r="H117" s="9"/>
      <c r="I117" s="9"/>
      <c r="J117" s="10"/>
      <c r="L117" s="2">
        <v>4500</v>
      </c>
    </row>
    <row r="118" spans="1:12" ht="18.95" customHeight="1">
      <c r="A118" s="8"/>
      <c r="B118" s="20" t="s">
        <v>94</v>
      </c>
      <c r="C118" s="9"/>
      <c r="D118" s="111" t="s">
        <v>109</v>
      </c>
      <c r="E118" s="9"/>
      <c r="F118" s="25">
        <v>1862.43</v>
      </c>
      <c r="G118" s="10"/>
      <c r="H118" s="9"/>
      <c r="I118" s="9"/>
      <c r="J118" s="10"/>
      <c r="L118" s="2">
        <v>1250</v>
      </c>
    </row>
    <row r="119" spans="1:12" ht="18.95" customHeight="1">
      <c r="A119" s="8"/>
      <c r="B119" s="20" t="s">
        <v>94</v>
      </c>
      <c r="C119" s="9"/>
      <c r="D119" s="111" t="s">
        <v>110</v>
      </c>
      <c r="E119" s="9"/>
      <c r="F119" s="25">
        <v>8202.6200000000008</v>
      </c>
      <c r="G119" s="10"/>
      <c r="H119" s="9"/>
      <c r="I119" s="9"/>
      <c r="J119" s="10"/>
    </row>
    <row r="120" spans="1:12" ht="18.95" customHeight="1">
      <c r="A120" s="8"/>
      <c r="B120" s="20" t="s">
        <v>95</v>
      </c>
      <c r="C120" s="9"/>
      <c r="D120" s="111" t="s">
        <v>111</v>
      </c>
      <c r="E120" s="9"/>
      <c r="F120" s="25">
        <v>177772.9</v>
      </c>
      <c r="G120" s="10"/>
      <c r="H120" s="9"/>
      <c r="I120" s="58">
        <f>F102+F103+F104+F105+F106+F107+F108+F109+F110+F111+F112+F113+F114+F115+F116+F117+F118+F119+F120+F121</f>
        <v>287189.19999999995</v>
      </c>
      <c r="J120" s="10"/>
    </row>
    <row r="121" spans="1:12">
      <c r="A121" s="8"/>
      <c r="B121" s="14" t="s">
        <v>38</v>
      </c>
      <c r="C121" s="9"/>
      <c r="D121" s="9"/>
      <c r="E121" s="9"/>
      <c r="F121" s="58"/>
      <c r="G121" s="10"/>
      <c r="H121" s="8"/>
      <c r="I121" s="9"/>
      <c r="J121" s="10"/>
    </row>
    <row r="122" spans="1:12" ht="17.25" customHeight="1">
      <c r="A122" s="8"/>
      <c r="B122" s="14" t="s">
        <v>39</v>
      </c>
      <c r="C122" s="9"/>
      <c r="D122" s="9"/>
      <c r="E122" s="9"/>
      <c r="F122" s="9"/>
      <c r="G122" s="10"/>
      <c r="H122" s="8"/>
      <c r="I122" s="9"/>
      <c r="J122" s="10"/>
      <c r="L122" s="2">
        <f>SUM(L114)</f>
        <v>0</v>
      </c>
    </row>
    <row r="123" spans="1:12" ht="19.5" customHeight="1">
      <c r="A123" s="8"/>
      <c r="B123" s="18"/>
      <c r="C123" s="9"/>
      <c r="D123" s="18"/>
      <c r="E123" s="9"/>
      <c r="F123" s="18"/>
      <c r="G123" s="10"/>
      <c r="H123" s="8"/>
      <c r="I123" s="9"/>
      <c r="J123" s="10"/>
    </row>
    <row r="124" spans="1:12" ht="18.95" customHeight="1">
      <c r="A124" s="8"/>
      <c r="B124" s="111" t="s">
        <v>36</v>
      </c>
      <c r="C124" s="9"/>
      <c r="D124" s="111" t="s">
        <v>37</v>
      </c>
      <c r="E124" s="9"/>
      <c r="F124" s="19" t="s">
        <v>31</v>
      </c>
      <c r="G124" s="10"/>
      <c r="H124" s="8"/>
      <c r="I124" s="9"/>
      <c r="J124" s="10"/>
    </row>
    <row r="125" spans="1:12" ht="16.5" customHeight="1">
      <c r="A125" s="8"/>
      <c r="B125" s="20" t="s">
        <v>93</v>
      </c>
      <c r="C125" s="9"/>
      <c r="D125" s="111" t="s">
        <v>103</v>
      </c>
      <c r="E125" s="9"/>
      <c r="F125" s="25">
        <v>2</v>
      </c>
      <c r="G125" s="10"/>
      <c r="H125" s="8"/>
      <c r="I125" s="25">
        <v>2</v>
      </c>
      <c r="J125" s="10"/>
    </row>
    <row r="126" spans="1:12" ht="21.75" customHeight="1">
      <c r="A126" s="28"/>
      <c r="B126" s="29" t="s">
        <v>112</v>
      </c>
      <c r="C126" s="29"/>
      <c r="D126" s="29"/>
      <c r="E126" s="29"/>
      <c r="F126" s="29"/>
      <c r="G126" s="31"/>
      <c r="H126" s="28"/>
      <c r="I126" s="12">
        <v>8602232.3900000006</v>
      </c>
      <c r="J126" s="30"/>
    </row>
    <row r="127" spans="1:12" ht="32.25" customHeight="1">
      <c r="A127" s="3"/>
      <c r="B127" s="5" t="s">
        <v>41</v>
      </c>
      <c r="C127" s="5"/>
      <c r="D127" s="5"/>
      <c r="E127" s="5"/>
      <c r="F127" s="3" t="s">
        <v>42</v>
      </c>
      <c r="G127" s="5"/>
      <c r="H127" s="5"/>
      <c r="I127" s="5"/>
      <c r="J127" s="7"/>
    </row>
    <row r="128" spans="1:12">
      <c r="A128" s="8"/>
      <c r="B128" s="9" t="s">
        <v>43</v>
      </c>
      <c r="C128" s="9"/>
      <c r="D128" s="9" t="s">
        <v>44</v>
      </c>
      <c r="E128" s="10"/>
      <c r="F128" s="8" t="s">
        <v>84</v>
      </c>
      <c r="G128" s="9"/>
      <c r="H128" s="9"/>
      <c r="I128" s="9" t="s">
        <v>85</v>
      </c>
      <c r="J128" s="10"/>
    </row>
    <row r="129" spans="1:11" ht="7.5" customHeight="1">
      <c r="A129" s="28"/>
      <c r="B129" s="29"/>
      <c r="C129" s="29"/>
      <c r="D129" s="29"/>
      <c r="E129" s="31"/>
      <c r="F129" s="28"/>
      <c r="G129" s="29"/>
      <c r="H129" s="29"/>
      <c r="I129" s="29"/>
      <c r="J129" s="31"/>
    </row>
    <row r="130" spans="1:11" ht="21.75" customHeight="1">
      <c r="A130" s="498" t="s">
        <v>23</v>
      </c>
      <c r="B130" s="499"/>
      <c r="C130" s="499"/>
      <c r="D130" s="499"/>
      <c r="E130" s="499"/>
      <c r="F130" s="499"/>
      <c r="G130" s="500"/>
      <c r="H130" s="498" t="s">
        <v>24</v>
      </c>
      <c r="I130" s="499"/>
      <c r="J130" s="500"/>
      <c r="K130" s="1"/>
    </row>
    <row r="131" spans="1:11" ht="21.75" customHeight="1">
      <c r="A131" s="501" t="s">
        <v>25</v>
      </c>
      <c r="B131" s="502"/>
      <c r="C131" s="502"/>
      <c r="D131" s="502"/>
      <c r="E131" s="502"/>
      <c r="F131" s="502"/>
      <c r="G131" s="503"/>
      <c r="H131" s="504" t="s">
        <v>89</v>
      </c>
      <c r="I131" s="505"/>
      <c r="J131" s="506"/>
    </row>
    <row r="132" spans="1:11" ht="14.25" customHeight="1">
      <c r="A132" s="3"/>
      <c r="B132" s="4"/>
      <c r="C132" s="5"/>
      <c r="D132" s="6"/>
      <c r="E132" s="5"/>
      <c r="F132" s="5"/>
      <c r="G132" s="7"/>
      <c r="H132" s="507" t="s">
        <v>27</v>
      </c>
      <c r="I132" s="508"/>
      <c r="J132" s="509"/>
    </row>
    <row r="133" spans="1:11" ht="18.75" customHeight="1">
      <c r="A133" s="8"/>
      <c r="B133" s="9" t="s">
        <v>87</v>
      </c>
      <c r="C133" s="9"/>
      <c r="D133" s="9"/>
      <c r="E133" s="9"/>
      <c r="F133" s="9"/>
      <c r="G133" s="10"/>
      <c r="H133" s="11"/>
      <c r="I133" s="12">
        <v>6532376.5499999998</v>
      </c>
      <c r="J133" s="13"/>
    </row>
    <row r="134" spans="1:11" ht="17.25" customHeight="1">
      <c r="A134" s="8"/>
      <c r="B134" s="14" t="s">
        <v>28</v>
      </c>
      <c r="C134" s="9"/>
      <c r="D134" s="9"/>
      <c r="E134" s="9"/>
      <c r="F134" s="9"/>
      <c r="G134" s="10"/>
      <c r="H134" s="8"/>
      <c r="I134" s="9"/>
      <c r="J134" s="10"/>
    </row>
    <row r="135" spans="1:11" ht="16.5" customHeight="1">
      <c r="A135" s="8"/>
      <c r="B135" s="15" t="s">
        <v>29</v>
      </c>
      <c r="C135" s="16"/>
      <c r="D135" s="15" t="s">
        <v>30</v>
      </c>
      <c r="E135" s="16"/>
      <c r="F135" s="17" t="s">
        <v>31</v>
      </c>
      <c r="G135" s="10"/>
      <c r="H135" s="8"/>
      <c r="I135" s="9"/>
      <c r="J135" s="10"/>
    </row>
    <row r="136" spans="1:11" ht="16.5" customHeight="1">
      <c r="A136" s="8"/>
      <c r="B136" s="18" t="s">
        <v>32</v>
      </c>
      <c r="C136" s="9"/>
      <c r="D136" s="18" t="s">
        <v>32</v>
      </c>
      <c r="E136" s="9"/>
      <c r="F136" s="18" t="s">
        <v>33</v>
      </c>
      <c r="G136" s="10"/>
      <c r="H136" s="8"/>
      <c r="I136" s="9" t="s">
        <v>34</v>
      </c>
      <c r="J136" s="10"/>
    </row>
    <row r="137" spans="1:11" ht="16.5" customHeight="1">
      <c r="A137" s="8"/>
      <c r="B137" s="18" t="s">
        <v>32</v>
      </c>
      <c r="C137" s="9"/>
      <c r="D137" s="18" t="s">
        <v>32</v>
      </c>
      <c r="E137" s="9"/>
      <c r="F137" s="18" t="s">
        <v>33</v>
      </c>
      <c r="G137" s="10"/>
      <c r="H137" s="8"/>
      <c r="I137" s="9" t="s">
        <v>34</v>
      </c>
      <c r="J137" s="10"/>
    </row>
    <row r="138" spans="1:11">
      <c r="A138" s="8"/>
      <c r="B138" s="14" t="s">
        <v>35</v>
      </c>
      <c r="C138" s="9"/>
      <c r="D138" s="9"/>
      <c r="E138" s="9"/>
      <c r="F138" s="9"/>
      <c r="G138" s="10"/>
      <c r="H138" s="8"/>
      <c r="I138" s="9"/>
      <c r="J138" s="10"/>
    </row>
    <row r="139" spans="1:11" ht="18.95" customHeight="1">
      <c r="A139" s="8"/>
      <c r="B139" s="111" t="s">
        <v>36</v>
      </c>
      <c r="C139" s="9"/>
      <c r="D139" s="111" t="s">
        <v>37</v>
      </c>
      <c r="E139" s="9"/>
      <c r="F139" s="19" t="s">
        <v>31</v>
      </c>
      <c r="G139" s="10"/>
      <c r="H139" s="8"/>
      <c r="I139" s="9"/>
      <c r="J139" s="10"/>
    </row>
    <row r="140" spans="1:11" ht="18.95" customHeight="1">
      <c r="A140" s="8"/>
      <c r="B140" s="20"/>
      <c r="C140" s="9"/>
      <c r="D140" s="20"/>
      <c r="E140" s="9"/>
      <c r="F140" s="21"/>
      <c r="G140" s="22"/>
      <c r="H140" s="8"/>
      <c r="I140" s="23"/>
      <c r="J140" s="10"/>
      <c r="K140" s="24"/>
    </row>
    <row r="141" spans="1:11" ht="18.95" customHeight="1">
      <c r="A141" s="8"/>
      <c r="B141" s="20"/>
      <c r="C141" s="9"/>
      <c r="D141" s="20"/>
      <c r="E141" s="9"/>
      <c r="F141" s="21"/>
      <c r="G141" s="22"/>
      <c r="H141" s="8"/>
      <c r="I141" s="23"/>
      <c r="J141" s="10"/>
      <c r="K141" s="24"/>
    </row>
    <row r="142" spans="1:11" ht="18.95" customHeight="1">
      <c r="A142" s="8"/>
      <c r="B142" s="20"/>
      <c r="C142" s="9"/>
      <c r="D142" s="20"/>
      <c r="E142" s="9"/>
      <c r="F142" s="21"/>
      <c r="G142" s="22"/>
      <c r="H142" s="8"/>
      <c r="I142" s="23"/>
      <c r="J142" s="10"/>
      <c r="K142" s="24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9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9"/>
      <c r="I144" s="23"/>
      <c r="J144" s="10"/>
      <c r="K144" s="24"/>
    </row>
    <row r="145" spans="1:12" ht="18.95" customHeight="1">
      <c r="A145" s="8"/>
      <c r="B145" s="20"/>
      <c r="C145" s="9"/>
      <c r="D145" s="20"/>
      <c r="E145" s="9"/>
      <c r="F145" s="21"/>
      <c r="G145" s="22"/>
      <c r="H145" s="9"/>
      <c r="I145" s="23"/>
      <c r="J145" s="10"/>
      <c r="K145" s="24"/>
    </row>
    <row r="146" spans="1:12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2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2" ht="18.95" customHeight="1">
      <c r="A148" s="8"/>
      <c r="B148" s="20"/>
      <c r="C148" s="9"/>
      <c r="D148" s="20"/>
      <c r="E148" s="9"/>
      <c r="F148" s="21"/>
      <c r="G148" s="22"/>
      <c r="H148" s="9"/>
      <c r="I148" s="23">
        <v>12158.25</v>
      </c>
      <c r="J148" s="10"/>
      <c r="K148" s="24"/>
    </row>
    <row r="149" spans="1:12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2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2" ht="18.95" customHeight="1">
      <c r="A151" s="8"/>
      <c r="B151" s="20"/>
      <c r="C151" s="9"/>
      <c r="D151" s="20"/>
      <c r="E151" s="9"/>
      <c r="F151" s="21"/>
      <c r="G151" s="22"/>
      <c r="H151" s="9"/>
      <c r="I151" s="9"/>
      <c r="J151" s="10"/>
    </row>
    <row r="152" spans="1:12" ht="18.95" customHeight="1">
      <c r="A152" s="8"/>
      <c r="B152" s="20"/>
      <c r="C152" s="9"/>
      <c r="D152" s="20"/>
      <c r="E152" s="9"/>
      <c r="F152" s="21"/>
      <c r="G152" s="22"/>
      <c r="H152" s="9"/>
      <c r="I152" s="9"/>
      <c r="J152" s="10"/>
    </row>
    <row r="153" spans="1:12" ht="18.95" customHeight="1">
      <c r="A153" s="8"/>
      <c r="B153" s="20"/>
      <c r="C153" s="9"/>
      <c r="D153" s="20"/>
      <c r="E153" s="9"/>
      <c r="F153" s="21"/>
      <c r="G153" s="22"/>
      <c r="H153" s="9"/>
      <c r="I153" s="9"/>
      <c r="J153" s="10"/>
    </row>
    <row r="154" spans="1:12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2" ht="18.95" customHeight="1">
      <c r="A155" s="8"/>
      <c r="B155" s="20"/>
      <c r="C155" s="9"/>
      <c r="D155" s="20"/>
      <c r="E155" s="9"/>
      <c r="F155" s="25"/>
      <c r="G155" s="10"/>
      <c r="H155" s="9"/>
      <c r="I155" s="9"/>
      <c r="J155" s="10"/>
    </row>
    <row r="156" spans="1:12" ht="18.95" customHeight="1">
      <c r="A156" s="8"/>
      <c r="B156" s="20"/>
      <c r="C156" s="9"/>
      <c r="D156" s="20"/>
      <c r="E156" s="9"/>
      <c r="F156" s="25"/>
      <c r="G156" s="10"/>
      <c r="H156" s="9"/>
      <c r="I156" s="9"/>
      <c r="J156" s="10"/>
    </row>
    <row r="157" spans="1:12" ht="18.95" customHeight="1">
      <c r="A157" s="8"/>
      <c r="B157" s="20"/>
      <c r="C157" s="9"/>
      <c r="D157" s="20"/>
      <c r="E157" s="9"/>
      <c r="F157" s="25"/>
      <c r="G157" s="10"/>
      <c r="H157" s="9"/>
      <c r="I157" s="9"/>
      <c r="J157" s="10"/>
    </row>
    <row r="158" spans="1:12" ht="18.95" customHeight="1">
      <c r="A158" s="8"/>
      <c r="B158" s="20"/>
      <c r="D158" s="20"/>
      <c r="F158" s="26"/>
      <c r="G158" s="10"/>
      <c r="I158" s="27"/>
      <c r="J158" s="10"/>
    </row>
    <row r="159" spans="1:12">
      <c r="A159" s="8"/>
      <c r="B159" s="14" t="s">
        <v>38</v>
      </c>
      <c r="C159" s="9"/>
      <c r="D159" s="9"/>
      <c r="E159" s="9"/>
      <c r="F159" s="9"/>
      <c r="G159" s="10"/>
      <c r="H159" s="8"/>
      <c r="I159" s="9"/>
      <c r="J159" s="10"/>
    </row>
    <row r="160" spans="1:12">
      <c r="A160" s="8"/>
      <c r="B160" s="14" t="s">
        <v>39</v>
      </c>
      <c r="C160" s="9"/>
      <c r="D160" s="9"/>
      <c r="E160" s="9"/>
      <c r="F160" s="9"/>
      <c r="G160" s="10"/>
      <c r="H160" s="8"/>
      <c r="I160" s="9"/>
      <c r="J160" s="10"/>
      <c r="L160" s="2">
        <f>SUM(L151)</f>
        <v>0</v>
      </c>
    </row>
    <row r="161" spans="1:10" ht="19.5" customHeight="1">
      <c r="A161" s="8"/>
      <c r="B161" s="18" t="s">
        <v>40</v>
      </c>
      <c r="C161" s="9"/>
      <c r="D161" s="18" t="s">
        <v>32</v>
      </c>
      <c r="E161" s="9"/>
      <c r="F161" s="18" t="s">
        <v>33</v>
      </c>
      <c r="G161" s="10"/>
      <c r="H161" s="8"/>
      <c r="I161" s="9" t="s">
        <v>34</v>
      </c>
      <c r="J161" s="10"/>
    </row>
    <row r="162" spans="1:10" ht="16.5" customHeight="1">
      <c r="A162" s="8"/>
      <c r="B162" s="18" t="s">
        <v>32</v>
      </c>
      <c r="C162" s="9"/>
      <c r="D162" s="18" t="s">
        <v>32</v>
      </c>
      <c r="E162" s="9"/>
      <c r="F162" s="18" t="s">
        <v>33</v>
      </c>
      <c r="G162" s="10"/>
      <c r="H162" s="8"/>
      <c r="I162" s="9" t="s">
        <v>34</v>
      </c>
      <c r="J162" s="10"/>
    </row>
    <row r="163" spans="1:10" ht="21.75" customHeight="1">
      <c r="A163" s="28"/>
      <c r="B163" s="29" t="s">
        <v>88</v>
      </c>
      <c r="C163" s="29"/>
      <c r="D163" s="29"/>
      <c r="E163" s="29"/>
      <c r="F163" s="29"/>
      <c r="G163" s="31"/>
      <c r="H163" s="28"/>
      <c r="I163" s="12">
        <v>6520225.8099999996</v>
      </c>
      <c r="J163" s="30"/>
    </row>
    <row r="164" spans="1:10" ht="32.25" customHeight="1">
      <c r="A164" s="8"/>
      <c r="B164" s="9" t="s">
        <v>41</v>
      </c>
      <c r="C164" s="9"/>
      <c r="D164" s="9"/>
      <c r="E164" s="9"/>
      <c r="F164" s="3" t="s">
        <v>42</v>
      </c>
      <c r="G164" s="5"/>
      <c r="H164" s="5"/>
      <c r="I164" s="5"/>
      <c r="J164" s="7"/>
    </row>
    <row r="165" spans="1:10">
      <c r="A165" s="8"/>
      <c r="B165" s="9" t="s">
        <v>43</v>
      </c>
      <c r="C165" s="9"/>
      <c r="D165" s="9" t="s">
        <v>44</v>
      </c>
      <c r="E165" s="9"/>
      <c r="F165" s="8" t="s">
        <v>84</v>
      </c>
      <c r="G165" s="9"/>
      <c r="I165" s="9" t="s">
        <v>85</v>
      </c>
      <c r="J165" s="10"/>
    </row>
    <row r="166" spans="1:10" ht="27" customHeight="1">
      <c r="A166" s="28"/>
      <c r="B166" s="29" t="s">
        <v>45</v>
      </c>
      <c r="C166" s="29"/>
      <c r="D166" s="29"/>
      <c r="E166" s="29"/>
      <c r="F166" s="28" t="s">
        <v>46</v>
      </c>
      <c r="G166" s="29"/>
      <c r="H166" s="29"/>
      <c r="I166" s="29"/>
      <c r="J166" s="31"/>
    </row>
  </sheetData>
  <mergeCells count="28">
    <mergeCell ref="H132:J132"/>
    <mergeCell ref="A56:G56"/>
    <mergeCell ref="H56:J56"/>
    <mergeCell ref="H57:J57"/>
    <mergeCell ref="A92:G92"/>
    <mergeCell ref="H92:J92"/>
    <mergeCell ref="A93:G93"/>
    <mergeCell ref="H93:J93"/>
    <mergeCell ref="H94:J94"/>
    <mergeCell ref="A130:G130"/>
    <mergeCell ref="H130:J130"/>
    <mergeCell ref="A131:G131"/>
    <mergeCell ref="H131:J131"/>
    <mergeCell ref="B33:D33"/>
    <mergeCell ref="F33:I33"/>
    <mergeCell ref="B34:D34"/>
    <mergeCell ref="F34:I34"/>
    <mergeCell ref="A55:G55"/>
    <mergeCell ref="H55:J55"/>
    <mergeCell ref="B32:D32"/>
    <mergeCell ref="F32:I32"/>
    <mergeCell ref="A1:G1"/>
    <mergeCell ref="H1:J1"/>
    <mergeCell ref="A2:G2"/>
    <mergeCell ref="H2:J2"/>
    <mergeCell ref="H3:J3"/>
    <mergeCell ref="E4:F4"/>
    <mergeCell ref="E30:F30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86"/>
  <sheetViews>
    <sheetView zoomScale="80" zoomScaleNormal="80" zoomScaleSheetLayoutView="80" workbookViewId="0">
      <pane xSplit="1" ySplit="5" topLeftCell="C33" activePane="bottomRight" state="frozen"/>
      <selection pane="topRight" activeCell="B1" sqref="B1"/>
      <selection pane="bottomLeft" activeCell="A6" sqref="A6"/>
      <selection pane="bottomRight" activeCell="I41" sqref="I41"/>
    </sheetView>
  </sheetViews>
  <sheetFormatPr defaultRowHeight="20.25" customHeight="1"/>
  <cols>
    <col min="1" max="1" width="11.42578125" style="157" customWidth="1"/>
    <col min="2" max="3" width="12" style="125" bestFit="1" customWidth="1"/>
    <col min="4" max="4" width="10.7109375" style="125" customWidth="1"/>
    <col min="5" max="5" width="9.5703125" style="125" bestFit="1" customWidth="1"/>
    <col min="6" max="6" width="12" style="125" bestFit="1" customWidth="1"/>
    <col min="7" max="7" width="11" style="125" bestFit="1" customWidth="1"/>
    <col min="8" max="8" width="6.85546875" style="125" bestFit="1" customWidth="1"/>
    <col min="9" max="9" width="9.28515625" style="125" bestFit="1" customWidth="1"/>
    <col min="10" max="11" width="6.85546875" style="125" bestFit="1" customWidth="1"/>
    <col min="12" max="12" width="6.7109375" style="125" bestFit="1" customWidth="1"/>
    <col min="13" max="13" width="12" style="125" bestFit="1" customWidth="1"/>
    <col min="14" max="15" width="6.7109375" style="125" bestFit="1" customWidth="1"/>
    <col min="16" max="16" width="9.5703125" style="125" bestFit="1" customWidth="1"/>
    <col min="17" max="17" width="6.7109375" style="125" bestFit="1" customWidth="1"/>
    <col min="18" max="18" width="9.5703125" style="125" bestFit="1" customWidth="1"/>
    <col min="19" max="20" width="10.5703125" style="125" bestFit="1" customWidth="1"/>
    <col min="21" max="21" width="7.28515625" style="125" bestFit="1" customWidth="1"/>
    <col min="22" max="22" width="6.7109375" style="125" bestFit="1" customWidth="1"/>
    <col min="23" max="23" width="6.7109375" style="125" customWidth="1"/>
    <col min="24" max="25" width="10.5703125" style="125" bestFit="1" customWidth="1"/>
    <col min="26" max="26" width="11.85546875" style="125" bestFit="1" customWidth="1"/>
    <col min="27" max="16384" width="9.140625" style="125"/>
  </cols>
  <sheetData>
    <row r="1" spans="1:26" ht="20.25" customHeight="1">
      <c r="A1" s="512" t="s">
        <v>198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2"/>
      <c r="Y1" s="512"/>
      <c r="Z1" s="512"/>
    </row>
    <row r="2" spans="1:26" ht="20.25" customHeight="1">
      <c r="A2" s="512" t="s">
        <v>199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</row>
    <row r="3" spans="1:26" ht="20.25" customHeight="1" thickBot="1">
      <c r="A3" s="513" t="s">
        <v>416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</row>
    <row r="4" spans="1:26" ht="20.25" customHeight="1">
      <c r="A4" s="352" t="s">
        <v>200</v>
      </c>
      <c r="B4" s="514" t="s">
        <v>201</v>
      </c>
      <c r="C4" s="514"/>
      <c r="D4" s="514" t="s">
        <v>202</v>
      </c>
      <c r="E4" s="514"/>
      <c r="F4" s="514" t="s">
        <v>203</v>
      </c>
      <c r="G4" s="514"/>
      <c r="H4" s="514"/>
      <c r="I4" s="514" t="s">
        <v>204</v>
      </c>
      <c r="J4" s="514"/>
      <c r="K4" s="514" t="s">
        <v>205</v>
      </c>
      <c r="L4" s="514"/>
      <c r="M4" s="515" t="s">
        <v>206</v>
      </c>
      <c r="N4" s="516"/>
      <c r="O4" s="517"/>
      <c r="P4" s="514" t="s">
        <v>207</v>
      </c>
      <c r="Q4" s="514"/>
      <c r="R4" s="514" t="s">
        <v>208</v>
      </c>
      <c r="S4" s="514"/>
      <c r="T4" s="514"/>
      <c r="U4" s="127" t="s">
        <v>209</v>
      </c>
      <c r="V4" s="514" t="s">
        <v>210</v>
      </c>
      <c r="W4" s="514"/>
      <c r="X4" s="127" t="s">
        <v>211</v>
      </c>
      <c r="Y4" s="127" t="s">
        <v>212</v>
      </c>
      <c r="Z4" s="518" t="s">
        <v>55</v>
      </c>
    </row>
    <row r="5" spans="1:26" ht="20.25" customHeight="1" thickBot="1">
      <c r="A5" s="353" t="s">
        <v>213</v>
      </c>
      <c r="B5" s="129" t="s">
        <v>214</v>
      </c>
      <c r="C5" s="129" t="s">
        <v>215</v>
      </c>
      <c r="D5" s="129" t="s">
        <v>216</v>
      </c>
      <c r="E5" s="129" t="s">
        <v>217</v>
      </c>
      <c r="F5" s="129" t="s">
        <v>218</v>
      </c>
      <c r="G5" s="129" t="s">
        <v>219</v>
      </c>
      <c r="H5" s="129" t="s">
        <v>220</v>
      </c>
      <c r="I5" s="129" t="s">
        <v>221</v>
      </c>
      <c r="J5" s="129" t="s">
        <v>222</v>
      </c>
      <c r="K5" s="129" t="s">
        <v>223</v>
      </c>
      <c r="L5" s="129" t="s">
        <v>224</v>
      </c>
      <c r="M5" s="130" t="s">
        <v>225</v>
      </c>
      <c r="N5" s="129" t="s">
        <v>226</v>
      </c>
      <c r="O5" s="129" t="s">
        <v>227</v>
      </c>
      <c r="P5" s="129" t="s">
        <v>228</v>
      </c>
      <c r="Q5" s="129" t="s">
        <v>229</v>
      </c>
      <c r="R5" s="129" t="s">
        <v>230</v>
      </c>
      <c r="S5" s="129" t="s">
        <v>231</v>
      </c>
      <c r="T5" s="129" t="s">
        <v>232</v>
      </c>
      <c r="U5" s="129" t="s">
        <v>233</v>
      </c>
      <c r="V5" s="129" t="s">
        <v>234</v>
      </c>
      <c r="W5" s="129" t="s">
        <v>235</v>
      </c>
      <c r="X5" s="129" t="s">
        <v>236</v>
      </c>
      <c r="Y5" s="129" t="s">
        <v>237</v>
      </c>
      <c r="Z5" s="519"/>
    </row>
    <row r="6" spans="1:26" ht="20.25" customHeight="1">
      <c r="A6" s="354" t="s">
        <v>56</v>
      </c>
      <c r="B6" s="131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1">
        <v>0</v>
      </c>
      <c r="Y6" s="132">
        <v>0</v>
      </c>
      <c r="Z6" s="133">
        <f>SUM(B6:Y6)</f>
        <v>0</v>
      </c>
    </row>
    <row r="7" spans="1:26" ht="20.25" customHeight="1">
      <c r="A7" s="355">
        <v>510000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3">
        <f>SUM(B7:Y7)</f>
        <v>0</v>
      </c>
    </row>
    <row r="8" spans="1:26" ht="20.25" customHeight="1">
      <c r="A8" s="340" t="s">
        <v>296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6">
        <v>9864</v>
      </c>
      <c r="Z8" s="133">
        <f>SUM(B8:Y8)</f>
        <v>9864</v>
      </c>
    </row>
    <row r="9" spans="1:26" ht="20.25" customHeight="1">
      <c r="A9" s="340" t="s">
        <v>297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6">
        <v>0</v>
      </c>
      <c r="Z9" s="133"/>
    </row>
    <row r="10" spans="1:26" ht="20.25" customHeight="1">
      <c r="A10" s="340" t="s">
        <v>298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6"/>
      <c r="Z10" s="133">
        <f t="shared" ref="Z10:Z17" si="0">SUM(B10:Y10)</f>
        <v>0</v>
      </c>
    </row>
    <row r="11" spans="1:26" ht="20.25" customHeight="1">
      <c r="A11" s="340" t="s">
        <v>299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6">
        <v>10000</v>
      </c>
      <c r="Z11" s="133">
        <f t="shared" si="0"/>
        <v>10000</v>
      </c>
    </row>
    <row r="12" spans="1:26" ht="20.25" customHeight="1">
      <c r="A12" s="340" t="s">
        <v>372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6">
        <v>0</v>
      </c>
      <c r="Z12" s="133">
        <f t="shared" si="0"/>
        <v>0</v>
      </c>
    </row>
    <row r="13" spans="1:26" ht="20.25" customHeight="1">
      <c r="A13" s="340" t="s">
        <v>300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6">
        <v>60000</v>
      </c>
      <c r="Z13" s="133">
        <f t="shared" si="0"/>
        <v>60000</v>
      </c>
    </row>
    <row r="14" spans="1:26" ht="20.25" customHeight="1">
      <c r="A14" s="340" t="s">
        <v>301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6">
        <v>0</v>
      </c>
      <c r="Z14" s="133">
        <f t="shared" si="0"/>
        <v>0</v>
      </c>
    </row>
    <row r="15" spans="1:26" ht="20.25" customHeight="1">
      <c r="A15" s="348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6">
        <v>0</v>
      </c>
      <c r="Z15" s="133">
        <f t="shared" si="0"/>
        <v>0</v>
      </c>
    </row>
    <row r="16" spans="1:26" ht="20.25" customHeight="1" thickBot="1">
      <c r="A16" s="348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7">
        <v>0</v>
      </c>
      <c r="Z16" s="133">
        <f t="shared" si="0"/>
        <v>0</v>
      </c>
    </row>
    <row r="17" spans="1:27" ht="20.25" customHeight="1">
      <c r="A17" s="352" t="s">
        <v>238</v>
      </c>
      <c r="B17" s="138">
        <f t="shared" ref="B17:X17" si="1">SUM(B7:B16)</f>
        <v>0</v>
      </c>
      <c r="C17" s="138">
        <f t="shared" si="1"/>
        <v>0</v>
      </c>
      <c r="D17" s="138">
        <f t="shared" si="1"/>
        <v>0</v>
      </c>
      <c r="E17" s="138">
        <f t="shared" si="1"/>
        <v>0</v>
      </c>
      <c r="F17" s="138">
        <f t="shared" si="1"/>
        <v>0</v>
      </c>
      <c r="G17" s="138">
        <f t="shared" si="1"/>
        <v>0</v>
      </c>
      <c r="H17" s="138">
        <f t="shared" si="1"/>
        <v>0</v>
      </c>
      <c r="I17" s="138">
        <f t="shared" si="1"/>
        <v>0</v>
      </c>
      <c r="J17" s="138">
        <f t="shared" si="1"/>
        <v>0</v>
      </c>
      <c r="K17" s="138">
        <f t="shared" si="1"/>
        <v>0</v>
      </c>
      <c r="L17" s="138">
        <f t="shared" si="1"/>
        <v>0</v>
      </c>
      <c r="M17" s="138">
        <f t="shared" si="1"/>
        <v>0</v>
      </c>
      <c r="N17" s="138">
        <f t="shared" si="1"/>
        <v>0</v>
      </c>
      <c r="O17" s="138">
        <f t="shared" si="1"/>
        <v>0</v>
      </c>
      <c r="P17" s="138">
        <f t="shared" si="1"/>
        <v>0</v>
      </c>
      <c r="Q17" s="138">
        <f t="shared" si="1"/>
        <v>0</v>
      </c>
      <c r="R17" s="138">
        <f t="shared" si="1"/>
        <v>0</v>
      </c>
      <c r="S17" s="138">
        <f t="shared" si="1"/>
        <v>0</v>
      </c>
      <c r="T17" s="138">
        <f t="shared" si="1"/>
        <v>0</v>
      </c>
      <c r="U17" s="138">
        <f t="shared" si="1"/>
        <v>0</v>
      </c>
      <c r="V17" s="138">
        <f t="shared" si="1"/>
        <v>0</v>
      </c>
      <c r="W17" s="138">
        <f t="shared" si="1"/>
        <v>0</v>
      </c>
      <c r="X17" s="138">
        <f t="shared" si="1"/>
        <v>0</v>
      </c>
      <c r="Y17" s="139">
        <f>SUM(Y8:Y16)</f>
        <v>79864</v>
      </c>
      <c r="Z17" s="140">
        <f t="shared" si="0"/>
        <v>79864</v>
      </c>
      <c r="AA17" s="141"/>
    </row>
    <row r="18" spans="1:27" ht="20.25" customHeight="1" thickBot="1">
      <c r="A18" s="353" t="s">
        <v>239</v>
      </c>
      <c r="B18" s="137">
        <f t="shared" ref="B18:Z18" si="2">B6+B17</f>
        <v>0</v>
      </c>
      <c r="C18" s="137">
        <f t="shared" si="2"/>
        <v>0</v>
      </c>
      <c r="D18" s="137">
        <f t="shared" si="2"/>
        <v>0</v>
      </c>
      <c r="E18" s="137">
        <f t="shared" si="2"/>
        <v>0</v>
      </c>
      <c r="F18" s="137">
        <f t="shared" si="2"/>
        <v>0</v>
      </c>
      <c r="G18" s="137">
        <f t="shared" si="2"/>
        <v>0</v>
      </c>
      <c r="H18" s="137">
        <f t="shared" si="2"/>
        <v>0</v>
      </c>
      <c r="I18" s="137">
        <f t="shared" si="2"/>
        <v>0</v>
      </c>
      <c r="J18" s="137">
        <f t="shared" si="2"/>
        <v>0</v>
      </c>
      <c r="K18" s="137">
        <f t="shared" si="2"/>
        <v>0</v>
      </c>
      <c r="L18" s="137">
        <f t="shared" si="2"/>
        <v>0</v>
      </c>
      <c r="M18" s="137">
        <f t="shared" si="2"/>
        <v>0</v>
      </c>
      <c r="N18" s="137">
        <f t="shared" si="2"/>
        <v>0</v>
      </c>
      <c r="O18" s="137">
        <f t="shared" si="2"/>
        <v>0</v>
      </c>
      <c r="P18" s="137">
        <f t="shared" si="2"/>
        <v>0</v>
      </c>
      <c r="Q18" s="137">
        <f t="shared" si="2"/>
        <v>0</v>
      </c>
      <c r="R18" s="137">
        <f t="shared" si="2"/>
        <v>0</v>
      </c>
      <c r="S18" s="137">
        <f t="shared" si="2"/>
        <v>0</v>
      </c>
      <c r="T18" s="137">
        <f t="shared" si="2"/>
        <v>0</v>
      </c>
      <c r="U18" s="137">
        <f t="shared" si="2"/>
        <v>0</v>
      </c>
      <c r="V18" s="137">
        <f t="shared" si="2"/>
        <v>0</v>
      </c>
      <c r="W18" s="137">
        <f t="shared" si="2"/>
        <v>0</v>
      </c>
      <c r="X18" s="137">
        <f t="shared" si="2"/>
        <v>0</v>
      </c>
      <c r="Y18" s="137">
        <f t="shared" si="2"/>
        <v>79864</v>
      </c>
      <c r="Z18" s="137">
        <f t="shared" si="2"/>
        <v>79864</v>
      </c>
    </row>
    <row r="19" spans="1:27" ht="20.25" customHeight="1">
      <c r="A19" s="356" t="s">
        <v>56</v>
      </c>
      <c r="B19" s="131">
        <v>171060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8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3">
        <f t="shared" ref="Z19:Z25" si="3">SUM(B19:Y19)</f>
        <v>171060</v>
      </c>
    </row>
    <row r="20" spans="1:27" ht="20.25" customHeight="1">
      <c r="A20" s="355">
        <v>521000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3">
        <f t="shared" si="3"/>
        <v>0</v>
      </c>
    </row>
    <row r="21" spans="1:27" ht="20.25" customHeight="1">
      <c r="A21" s="340" t="s">
        <v>303</v>
      </c>
      <c r="B21" s="134">
        <v>42840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3">
        <f t="shared" si="3"/>
        <v>42840</v>
      </c>
    </row>
    <row r="22" spans="1:27" ht="20.25" customHeight="1">
      <c r="A22" s="340" t="s">
        <v>304</v>
      </c>
      <c r="B22" s="134">
        <v>3510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3">
        <f t="shared" si="3"/>
        <v>3510</v>
      </c>
    </row>
    <row r="23" spans="1:27" ht="20.25" customHeight="1">
      <c r="A23" s="340" t="s">
        <v>187</v>
      </c>
      <c r="B23" s="134">
        <v>3510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3">
        <f t="shared" si="3"/>
        <v>3510</v>
      </c>
    </row>
    <row r="24" spans="1:27" ht="20.25" customHeight="1">
      <c r="A24" s="340" t="s">
        <v>167</v>
      </c>
      <c r="B24" s="142">
        <v>7200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>
        <f t="shared" si="3"/>
        <v>7200</v>
      </c>
    </row>
    <row r="25" spans="1:27" ht="20.25" customHeight="1" thickBot="1">
      <c r="A25" s="341" t="s">
        <v>188</v>
      </c>
      <c r="B25" s="134">
        <v>114000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3">
        <f t="shared" si="3"/>
        <v>114000</v>
      </c>
    </row>
    <row r="26" spans="1:27" ht="20.25" customHeight="1">
      <c r="A26" s="352" t="s">
        <v>238</v>
      </c>
      <c r="B26" s="138">
        <f>SUM(B21:B25)</f>
        <v>171060</v>
      </c>
      <c r="C26" s="138">
        <f t="shared" ref="C26:L26" si="4">SUM(C21:C24)</f>
        <v>0</v>
      </c>
      <c r="D26" s="138">
        <f t="shared" si="4"/>
        <v>0</v>
      </c>
      <c r="E26" s="138">
        <f t="shared" si="4"/>
        <v>0</v>
      </c>
      <c r="F26" s="138">
        <f t="shared" si="4"/>
        <v>0</v>
      </c>
      <c r="G26" s="138">
        <f t="shared" si="4"/>
        <v>0</v>
      </c>
      <c r="H26" s="138">
        <f t="shared" si="4"/>
        <v>0</v>
      </c>
      <c r="I26" s="138">
        <f t="shared" si="4"/>
        <v>0</v>
      </c>
      <c r="J26" s="138">
        <f t="shared" si="4"/>
        <v>0</v>
      </c>
      <c r="K26" s="138">
        <f t="shared" si="4"/>
        <v>0</v>
      </c>
      <c r="L26" s="138">
        <f t="shared" si="4"/>
        <v>0</v>
      </c>
      <c r="M26" s="138">
        <f t="shared" ref="M26:Y26" si="5">SUM(M22:M24)</f>
        <v>0</v>
      </c>
      <c r="N26" s="138">
        <f t="shared" si="5"/>
        <v>0</v>
      </c>
      <c r="O26" s="138">
        <f t="shared" si="5"/>
        <v>0</v>
      </c>
      <c r="P26" s="138">
        <f t="shared" si="5"/>
        <v>0</v>
      </c>
      <c r="Q26" s="138">
        <f t="shared" si="5"/>
        <v>0</v>
      </c>
      <c r="R26" s="138">
        <f t="shared" si="5"/>
        <v>0</v>
      </c>
      <c r="S26" s="138">
        <f t="shared" si="5"/>
        <v>0</v>
      </c>
      <c r="T26" s="138">
        <f t="shared" si="5"/>
        <v>0</v>
      </c>
      <c r="U26" s="138">
        <f t="shared" si="5"/>
        <v>0</v>
      </c>
      <c r="V26" s="138">
        <f t="shared" si="5"/>
        <v>0</v>
      </c>
      <c r="W26" s="138">
        <f t="shared" si="5"/>
        <v>0</v>
      </c>
      <c r="X26" s="138">
        <f t="shared" si="5"/>
        <v>0</v>
      </c>
      <c r="Y26" s="138">
        <f t="shared" si="5"/>
        <v>0</v>
      </c>
      <c r="Z26" s="140">
        <f>SUM(Z20:Z25)</f>
        <v>171060</v>
      </c>
    </row>
    <row r="27" spans="1:27" ht="20.25" customHeight="1" thickBot="1">
      <c r="A27" s="353" t="s">
        <v>239</v>
      </c>
      <c r="B27" s="137">
        <f t="shared" ref="B27:Z27" si="6">B19+B26</f>
        <v>342120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7">
        <f t="shared" si="6"/>
        <v>0</v>
      </c>
      <c r="M27" s="137">
        <f t="shared" si="6"/>
        <v>0</v>
      </c>
      <c r="N27" s="137">
        <f t="shared" si="6"/>
        <v>0</v>
      </c>
      <c r="O27" s="137">
        <f t="shared" si="6"/>
        <v>0</v>
      </c>
      <c r="P27" s="137">
        <f t="shared" si="6"/>
        <v>0</v>
      </c>
      <c r="Q27" s="137">
        <f t="shared" si="6"/>
        <v>0</v>
      </c>
      <c r="R27" s="137">
        <f t="shared" si="6"/>
        <v>0</v>
      </c>
      <c r="S27" s="137">
        <f t="shared" si="6"/>
        <v>0</v>
      </c>
      <c r="T27" s="137">
        <f t="shared" si="6"/>
        <v>0</v>
      </c>
      <c r="U27" s="137">
        <f t="shared" si="6"/>
        <v>0</v>
      </c>
      <c r="V27" s="137">
        <f t="shared" si="6"/>
        <v>0</v>
      </c>
      <c r="W27" s="137">
        <f t="shared" si="6"/>
        <v>0</v>
      </c>
      <c r="X27" s="137">
        <f t="shared" si="6"/>
        <v>0</v>
      </c>
      <c r="Y27" s="137">
        <f t="shared" si="6"/>
        <v>0</v>
      </c>
      <c r="Z27" s="144">
        <f t="shared" si="6"/>
        <v>342120</v>
      </c>
    </row>
    <row r="28" spans="1:27" ht="20.25" customHeight="1">
      <c r="A28" s="356" t="s">
        <v>56</v>
      </c>
      <c r="B28" s="134">
        <v>196250</v>
      </c>
      <c r="C28" s="134">
        <v>94155</v>
      </c>
      <c r="D28" s="131"/>
      <c r="E28" s="131"/>
      <c r="F28" s="131">
        <v>19200</v>
      </c>
      <c r="G28" s="131"/>
      <c r="H28" s="131"/>
      <c r="I28" s="131"/>
      <c r="J28" s="131"/>
      <c r="K28" s="131"/>
      <c r="L28" s="131"/>
      <c r="M28" s="134">
        <v>63415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3">
        <f t="shared" ref="Z28:Z37" si="7">SUM(B28:Y28)</f>
        <v>373020</v>
      </c>
    </row>
    <row r="29" spans="1:27" ht="20.25" customHeight="1">
      <c r="A29" s="355">
        <v>522000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3">
        <f t="shared" si="7"/>
        <v>0</v>
      </c>
    </row>
    <row r="30" spans="1:27" ht="20.25" customHeight="1">
      <c r="A30" s="340" t="s">
        <v>305</v>
      </c>
      <c r="B30" s="136">
        <v>137880</v>
      </c>
      <c r="C30" s="136">
        <v>57200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>
        <v>31940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3">
        <f t="shared" si="7"/>
        <v>227020</v>
      </c>
    </row>
    <row r="31" spans="1:27" ht="20.25" customHeight="1">
      <c r="A31" s="340" t="s">
        <v>306</v>
      </c>
      <c r="B31" s="134">
        <v>9450</v>
      </c>
      <c r="C31" s="134">
        <v>6165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>
        <v>665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3">
        <f t="shared" si="7"/>
        <v>16280</v>
      </c>
    </row>
    <row r="32" spans="1:27" ht="20.25" customHeight="1">
      <c r="A32" s="340" t="s">
        <v>307</v>
      </c>
      <c r="B32" s="136">
        <v>7000</v>
      </c>
      <c r="C32" s="136">
        <v>3500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>
        <v>3500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3">
        <f t="shared" si="7"/>
        <v>14000</v>
      </c>
    </row>
    <row r="33" spans="1:26" ht="20.25" customHeight="1">
      <c r="A33" s="340" t="s">
        <v>308</v>
      </c>
      <c r="B33" s="136">
        <v>9330</v>
      </c>
      <c r="C33" s="136">
        <v>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3">
        <f t="shared" si="7"/>
        <v>9330</v>
      </c>
    </row>
    <row r="34" spans="1:26" ht="20.25" customHeight="1">
      <c r="A34" s="340" t="s">
        <v>309</v>
      </c>
      <c r="B34" s="136">
        <v>5670</v>
      </c>
      <c r="C34" s="136">
        <v>0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3">
        <f t="shared" si="7"/>
        <v>5670</v>
      </c>
    </row>
    <row r="35" spans="1:26" ht="20.25" customHeight="1">
      <c r="A35" s="340" t="s">
        <v>310</v>
      </c>
      <c r="B35" s="134">
        <v>16020</v>
      </c>
      <c r="C35" s="134">
        <v>18470</v>
      </c>
      <c r="D35" s="134"/>
      <c r="E35" s="134"/>
      <c r="F35" s="134">
        <v>11880</v>
      </c>
      <c r="G35" s="134"/>
      <c r="H35" s="134"/>
      <c r="I35" s="134"/>
      <c r="J35" s="134"/>
      <c r="K35" s="134"/>
      <c r="L35" s="134"/>
      <c r="M35" s="134">
        <v>18970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3">
        <f t="shared" si="7"/>
        <v>65340</v>
      </c>
    </row>
    <row r="36" spans="1:26" ht="20.25" customHeight="1">
      <c r="A36" s="342" t="s">
        <v>311</v>
      </c>
      <c r="B36" s="134">
        <v>10980</v>
      </c>
      <c r="C36" s="134">
        <v>8820</v>
      </c>
      <c r="D36" s="134"/>
      <c r="E36" s="134"/>
      <c r="F36" s="134">
        <v>7320</v>
      </c>
      <c r="G36" s="134"/>
      <c r="H36" s="134"/>
      <c r="I36" s="134"/>
      <c r="J36" s="134"/>
      <c r="K36" s="134"/>
      <c r="L36" s="134"/>
      <c r="M36" s="134">
        <v>8340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43">
        <f t="shared" si="7"/>
        <v>35460</v>
      </c>
    </row>
    <row r="37" spans="1:26" ht="20.25" customHeight="1">
      <c r="A37" s="357" t="s">
        <v>238</v>
      </c>
      <c r="B37" s="131">
        <f t="shared" ref="B37:Y37" si="8">SUM(B30:B36)</f>
        <v>196330</v>
      </c>
      <c r="C37" s="131">
        <f t="shared" si="8"/>
        <v>94155</v>
      </c>
      <c r="D37" s="131">
        <f t="shared" si="8"/>
        <v>0</v>
      </c>
      <c r="E37" s="131">
        <f t="shared" si="8"/>
        <v>0</v>
      </c>
      <c r="F37" s="131">
        <f t="shared" si="8"/>
        <v>19200</v>
      </c>
      <c r="G37" s="131">
        <f t="shared" si="8"/>
        <v>0</v>
      </c>
      <c r="H37" s="131">
        <f t="shared" si="8"/>
        <v>0</v>
      </c>
      <c r="I37" s="131">
        <f t="shared" si="8"/>
        <v>0</v>
      </c>
      <c r="J37" s="131">
        <f t="shared" si="8"/>
        <v>0</v>
      </c>
      <c r="K37" s="131">
        <f t="shared" si="8"/>
        <v>0</v>
      </c>
      <c r="L37" s="131">
        <f t="shared" si="8"/>
        <v>0</v>
      </c>
      <c r="M37" s="131">
        <f t="shared" si="8"/>
        <v>63415</v>
      </c>
      <c r="N37" s="131">
        <f t="shared" si="8"/>
        <v>0</v>
      </c>
      <c r="O37" s="131">
        <f t="shared" si="8"/>
        <v>0</v>
      </c>
      <c r="P37" s="131">
        <f t="shared" si="8"/>
        <v>0</v>
      </c>
      <c r="Q37" s="131">
        <f t="shared" si="8"/>
        <v>0</v>
      </c>
      <c r="R37" s="131">
        <f t="shared" si="8"/>
        <v>0</v>
      </c>
      <c r="S37" s="131">
        <f t="shared" si="8"/>
        <v>0</v>
      </c>
      <c r="T37" s="131">
        <f t="shared" si="8"/>
        <v>0</v>
      </c>
      <c r="U37" s="131">
        <f t="shared" si="8"/>
        <v>0</v>
      </c>
      <c r="V37" s="131">
        <f t="shared" si="8"/>
        <v>0</v>
      </c>
      <c r="W37" s="131">
        <f t="shared" si="8"/>
        <v>0</v>
      </c>
      <c r="X37" s="131">
        <f t="shared" si="8"/>
        <v>0</v>
      </c>
      <c r="Y37" s="131">
        <f t="shared" si="8"/>
        <v>0</v>
      </c>
      <c r="Z37" s="133">
        <f t="shared" si="7"/>
        <v>373100</v>
      </c>
    </row>
    <row r="38" spans="1:26" ht="20.25" customHeight="1" thickBot="1">
      <c r="A38" s="353" t="s">
        <v>239</v>
      </c>
      <c r="B38" s="137">
        <f t="shared" ref="B38:Z38" si="9">B28+B37</f>
        <v>392580</v>
      </c>
      <c r="C38" s="137">
        <f t="shared" si="9"/>
        <v>188310</v>
      </c>
      <c r="D38" s="137">
        <f t="shared" si="9"/>
        <v>0</v>
      </c>
      <c r="E38" s="137">
        <f t="shared" si="9"/>
        <v>0</v>
      </c>
      <c r="F38" s="137">
        <f t="shared" si="9"/>
        <v>38400</v>
      </c>
      <c r="G38" s="137">
        <f t="shared" si="9"/>
        <v>0</v>
      </c>
      <c r="H38" s="137">
        <f t="shared" si="9"/>
        <v>0</v>
      </c>
      <c r="I38" s="137">
        <f t="shared" si="9"/>
        <v>0</v>
      </c>
      <c r="J38" s="137">
        <f t="shared" si="9"/>
        <v>0</v>
      </c>
      <c r="K38" s="137">
        <f t="shared" si="9"/>
        <v>0</v>
      </c>
      <c r="L38" s="137">
        <f t="shared" si="9"/>
        <v>0</v>
      </c>
      <c r="M38" s="137">
        <f t="shared" si="9"/>
        <v>126830</v>
      </c>
      <c r="N38" s="137">
        <f t="shared" si="9"/>
        <v>0</v>
      </c>
      <c r="O38" s="137">
        <f t="shared" si="9"/>
        <v>0</v>
      </c>
      <c r="P38" s="137">
        <f t="shared" si="9"/>
        <v>0</v>
      </c>
      <c r="Q38" s="137">
        <f t="shared" si="9"/>
        <v>0</v>
      </c>
      <c r="R38" s="137">
        <f t="shared" si="9"/>
        <v>0</v>
      </c>
      <c r="S38" s="137">
        <f t="shared" si="9"/>
        <v>0</v>
      </c>
      <c r="T38" s="137">
        <f t="shared" si="9"/>
        <v>0</v>
      </c>
      <c r="U38" s="137">
        <f t="shared" si="9"/>
        <v>0</v>
      </c>
      <c r="V38" s="137">
        <f t="shared" si="9"/>
        <v>0</v>
      </c>
      <c r="W38" s="137">
        <f t="shared" si="9"/>
        <v>0</v>
      </c>
      <c r="X38" s="137">
        <f t="shared" si="9"/>
        <v>0</v>
      </c>
      <c r="Y38" s="137">
        <f t="shared" si="9"/>
        <v>0</v>
      </c>
      <c r="Z38" s="144">
        <f t="shared" si="9"/>
        <v>746120</v>
      </c>
    </row>
    <row r="39" spans="1:26" ht="20.25" customHeight="1">
      <c r="A39" s="168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20.25" customHeight="1">
      <c r="A40" s="168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20.25" customHeight="1">
      <c r="A41" s="168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20.25" customHeight="1">
      <c r="A42" s="168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20.25" customHeight="1" thickBot="1">
      <c r="A43" s="168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20.25" customHeight="1">
      <c r="A44" s="523" t="s">
        <v>198</v>
      </c>
      <c r="B44" s="524"/>
      <c r="C44" s="524"/>
      <c r="D44" s="524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  <c r="S44" s="524"/>
      <c r="T44" s="524"/>
      <c r="U44" s="524"/>
      <c r="V44" s="524"/>
      <c r="W44" s="524"/>
      <c r="X44" s="524"/>
      <c r="Y44" s="524"/>
      <c r="Z44" s="524"/>
    </row>
    <row r="45" spans="1:26" ht="20.25" customHeight="1">
      <c r="A45" s="525" t="s">
        <v>199</v>
      </c>
      <c r="B45" s="526"/>
      <c r="C45" s="526"/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  <c r="S45" s="526"/>
      <c r="T45" s="526"/>
      <c r="U45" s="526"/>
      <c r="V45" s="526"/>
      <c r="W45" s="526"/>
      <c r="X45" s="526"/>
      <c r="Y45" s="526"/>
      <c r="Z45" s="526"/>
    </row>
    <row r="46" spans="1:26" ht="20.25" customHeight="1" thickBot="1">
      <c r="A46" s="522" t="str">
        <f>A3</f>
        <v>วันที่  30  พฤศจิกายน  2556</v>
      </c>
      <c r="B46" s="513"/>
      <c r="C46" s="513"/>
      <c r="D46" s="513"/>
      <c r="E46" s="513"/>
      <c r="F46" s="513"/>
      <c r="G46" s="513"/>
      <c r="H46" s="513"/>
      <c r="I46" s="513"/>
      <c r="J46" s="513"/>
      <c r="K46" s="513"/>
      <c r="L46" s="513"/>
      <c r="M46" s="513"/>
      <c r="N46" s="513"/>
      <c r="O46" s="513"/>
      <c r="P46" s="513"/>
      <c r="Q46" s="513"/>
      <c r="R46" s="513"/>
      <c r="S46" s="513"/>
      <c r="T46" s="513"/>
      <c r="U46" s="513"/>
      <c r="V46" s="513"/>
      <c r="W46" s="513"/>
      <c r="X46" s="513"/>
      <c r="Y46" s="513"/>
      <c r="Z46" s="513"/>
    </row>
    <row r="47" spans="1:26" ht="20.25" customHeight="1">
      <c r="A47" s="352" t="s">
        <v>200</v>
      </c>
      <c r="B47" s="514" t="s">
        <v>201</v>
      </c>
      <c r="C47" s="514"/>
      <c r="D47" s="514" t="s">
        <v>202</v>
      </c>
      <c r="E47" s="514"/>
      <c r="F47" s="514" t="s">
        <v>203</v>
      </c>
      <c r="G47" s="514"/>
      <c r="H47" s="514"/>
      <c r="I47" s="514" t="s">
        <v>204</v>
      </c>
      <c r="J47" s="514"/>
      <c r="K47" s="514" t="s">
        <v>205</v>
      </c>
      <c r="L47" s="514"/>
      <c r="M47" s="515" t="s">
        <v>206</v>
      </c>
      <c r="N47" s="516"/>
      <c r="O47" s="517"/>
      <c r="P47" s="514" t="s">
        <v>207</v>
      </c>
      <c r="Q47" s="514"/>
      <c r="R47" s="514" t="s">
        <v>208</v>
      </c>
      <c r="S47" s="514"/>
      <c r="T47" s="514"/>
      <c r="U47" s="350" t="s">
        <v>209</v>
      </c>
      <c r="V47" s="514" t="s">
        <v>210</v>
      </c>
      <c r="W47" s="514"/>
      <c r="X47" s="350" t="s">
        <v>211</v>
      </c>
      <c r="Y47" s="350" t="s">
        <v>212</v>
      </c>
      <c r="Z47" s="518" t="s">
        <v>55</v>
      </c>
    </row>
    <row r="48" spans="1:26" ht="20.25" customHeight="1" thickBot="1">
      <c r="A48" s="353" t="s">
        <v>213</v>
      </c>
      <c r="B48" s="129" t="s">
        <v>214</v>
      </c>
      <c r="C48" s="129" t="s">
        <v>215</v>
      </c>
      <c r="D48" s="129" t="s">
        <v>216</v>
      </c>
      <c r="E48" s="129" t="s">
        <v>217</v>
      </c>
      <c r="F48" s="129" t="s">
        <v>218</v>
      </c>
      <c r="G48" s="129" t="s">
        <v>219</v>
      </c>
      <c r="H48" s="129" t="s">
        <v>220</v>
      </c>
      <c r="I48" s="129" t="s">
        <v>221</v>
      </c>
      <c r="J48" s="129" t="s">
        <v>222</v>
      </c>
      <c r="K48" s="129" t="s">
        <v>223</v>
      </c>
      <c r="L48" s="129" t="s">
        <v>224</v>
      </c>
      <c r="M48" s="130" t="s">
        <v>225</v>
      </c>
      <c r="N48" s="129" t="s">
        <v>226</v>
      </c>
      <c r="O48" s="129" t="s">
        <v>227</v>
      </c>
      <c r="P48" s="129" t="s">
        <v>228</v>
      </c>
      <c r="Q48" s="129" t="s">
        <v>229</v>
      </c>
      <c r="R48" s="129" t="s">
        <v>230</v>
      </c>
      <c r="S48" s="129" t="s">
        <v>231</v>
      </c>
      <c r="T48" s="129" t="s">
        <v>232</v>
      </c>
      <c r="U48" s="129">
        <v>311</v>
      </c>
      <c r="V48" s="129" t="s">
        <v>234</v>
      </c>
      <c r="W48" s="129" t="s">
        <v>235</v>
      </c>
      <c r="X48" s="129" t="s">
        <v>236</v>
      </c>
      <c r="Y48" s="129" t="s">
        <v>237</v>
      </c>
      <c r="Z48" s="519"/>
    </row>
    <row r="49" spans="1:26" ht="20.25" customHeight="1">
      <c r="A49" s="356" t="s">
        <v>56</v>
      </c>
      <c r="B49" s="131">
        <v>5337</v>
      </c>
      <c r="C49" s="131">
        <v>3000</v>
      </c>
      <c r="D49" s="131">
        <v>0</v>
      </c>
      <c r="E49" s="131"/>
      <c r="F49" s="131"/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/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3">
        <f t="shared" ref="Z49:Z50" si="10">SUM(B49:Y49)</f>
        <v>8337</v>
      </c>
    </row>
    <row r="50" spans="1:26" ht="20.25" customHeight="1">
      <c r="A50" s="355">
        <v>531000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3">
        <f t="shared" si="10"/>
        <v>0</v>
      </c>
    </row>
    <row r="51" spans="1:26" ht="20.25" customHeight="1">
      <c r="A51" s="343" t="s">
        <v>314</v>
      </c>
      <c r="B51" s="134"/>
      <c r="C51" s="134">
        <v>0</v>
      </c>
      <c r="D51" s="134">
        <v>0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3">
        <f>SUM(B51:Y51)</f>
        <v>0</v>
      </c>
    </row>
    <row r="52" spans="1:26" ht="20.25" customHeight="1">
      <c r="A52" s="343" t="s">
        <v>315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3">
        <f t="shared" ref="Z52:Z57" si="11">SUM(B52:Y52)</f>
        <v>0</v>
      </c>
    </row>
    <row r="53" spans="1:26" ht="20.25" customHeight="1">
      <c r="A53" s="343" t="s">
        <v>316</v>
      </c>
      <c r="B53" s="134">
        <v>0</v>
      </c>
      <c r="C53" s="134">
        <v>0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3">
        <f t="shared" si="11"/>
        <v>0</v>
      </c>
    </row>
    <row r="54" spans="1:26" ht="20.25" customHeight="1">
      <c r="A54" s="343" t="s">
        <v>317</v>
      </c>
      <c r="B54" s="134">
        <v>1600</v>
      </c>
      <c r="C54" s="134">
        <v>3000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6"/>
      <c r="Z54" s="133">
        <f t="shared" si="11"/>
        <v>4600</v>
      </c>
    </row>
    <row r="55" spans="1:26" ht="20.25" customHeight="1">
      <c r="A55" s="343" t="s">
        <v>318</v>
      </c>
      <c r="B55" s="146">
        <v>0</v>
      </c>
      <c r="C55" s="134">
        <v>0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3">
        <f t="shared" si="11"/>
        <v>0</v>
      </c>
    </row>
    <row r="56" spans="1:26" ht="20.25" customHeight="1" thickBot="1">
      <c r="A56" s="344" t="s">
        <v>319</v>
      </c>
      <c r="B56" s="147">
        <v>24246</v>
      </c>
      <c r="C56" s="134">
        <v>370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>
        <v>0</v>
      </c>
      <c r="N56" s="131">
        <v>0</v>
      </c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7"/>
      <c r="Z56" s="133">
        <f t="shared" si="11"/>
        <v>24616</v>
      </c>
    </row>
    <row r="57" spans="1:26" ht="20.25" customHeight="1">
      <c r="A57" s="352" t="s">
        <v>238</v>
      </c>
      <c r="B57" s="138">
        <f t="shared" ref="B57:Y57" si="12">SUM(B50:B56)</f>
        <v>25846</v>
      </c>
      <c r="C57" s="138">
        <f t="shared" si="12"/>
        <v>3370</v>
      </c>
      <c r="D57" s="138">
        <f t="shared" si="12"/>
        <v>0</v>
      </c>
      <c r="E57" s="138">
        <f t="shared" si="12"/>
        <v>0</v>
      </c>
      <c r="F57" s="138">
        <f t="shared" si="12"/>
        <v>0</v>
      </c>
      <c r="G57" s="138">
        <f t="shared" si="12"/>
        <v>0</v>
      </c>
      <c r="H57" s="138">
        <f t="shared" si="12"/>
        <v>0</v>
      </c>
      <c r="I57" s="138">
        <f t="shared" si="12"/>
        <v>0</v>
      </c>
      <c r="J57" s="138">
        <f t="shared" si="12"/>
        <v>0</v>
      </c>
      <c r="K57" s="138">
        <f t="shared" si="12"/>
        <v>0</v>
      </c>
      <c r="L57" s="138">
        <f t="shared" si="12"/>
        <v>0</v>
      </c>
      <c r="M57" s="138">
        <f t="shared" si="12"/>
        <v>0</v>
      </c>
      <c r="N57" s="138">
        <f t="shared" si="12"/>
        <v>0</v>
      </c>
      <c r="O57" s="138">
        <f t="shared" si="12"/>
        <v>0</v>
      </c>
      <c r="P57" s="138">
        <f t="shared" si="12"/>
        <v>0</v>
      </c>
      <c r="Q57" s="138">
        <f t="shared" si="12"/>
        <v>0</v>
      </c>
      <c r="R57" s="138">
        <f t="shared" si="12"/>
        <v>0</v>
      </c>
      <c r="S57" s="138">
        <f t="shared" si="12"/>
        <v>0</v>
      </c>
      <c r="T57" s="138">
        <f t="shared" si="12"/>
        <v>0</v>
      </c>
      <c r="U57" s="138">
        <f t="shared" si="12"/>
        <v>0</v>
      </c>
      <c r="V57" s="138">
        <f t="shared" si="12"/>
        <v>0</v>
      </c>
      <c r="W57" s="138">
        <f t="shared" si="12"/>
        <v>0</v>
      </c>
      <c r="X57" s="138">
        <f t="shared" si="12"/>
        <v>0</v>
      </c>
      <c r="Y57" s="138">
        <f t="shared" si="12"/>
        <v>0</v>
      </c>
      <c r="Z57" s="140">
        <f t="shared" si="11"/>
        <v>29216</v>
      </c>
    </row>
    <row r="58" spans="1:26" ht="20.25" customHeight="1" thickBot="1">
      <c r="A58" s="353" t="s">
        <v>239</v>
      </c>
      <c r="B58" s="137">
        <f>B57+B49</f>
        <v>31183</v>
      </c>
      <c r="C58" s="137">
        <f>C49+C57</f>
        <v>6370</v>
      </c>
      <c r="D58" s="137">
        <f t="shared" ref="D58:L58" si="13">D57+D49</f>
        <v>0</v>
      </c>
      <c r="E58" s="137">
        <f t="shared" si="13"/>
        <v>0</v>
      </c>
      <c r="F58" s="137">
        <f t="shared" si="13"/>
        <v>0</v>
      </c>
      <c r="G58" s="137">
        <f t="shared" si="13"/>
        <v>0</v>
      </c>
      <c r="H58" s="137">
        <f t="shared" si="13"/>
        <v>0</v>
      </c>
      <c r="I58" s="137">
        <f t="shared" si="13"/>
        <v>0</v>
      </c>
      <c r="J58" s="137">
        <f t="shared" si="13"/>
        <v>0</v>
      </c>
      <c r="K58" s="137">
        <f t="shared" si="13"/>
        <v>0</v>
      </c>
      <c r="L58" s="137">
        <f t="shared" si="13"/>
        <v>0</v>
      </c>
      <c r="M58" s="137">
        <f t="shared" ref="M58:Z58" si="14">M49+M57</f>
        <v>0</v>
      </c>
      <c r="N58" s="137">
        <f t="shared" si="14"/>
        <v>0</v>
      </c>
      <c r="O58" s="137">
        <f t="shared" si="14"/>
        <v>0</v>
      </c>
      <c r="P58" s="137">
        <f t="shared" si="14"/>
        <v>0</v>
      </c>
      <c r="Q58" s="137">
        <f t="shared" si="14"/>
        <v>0</v>
      </c>
      <c r="R58" s="137">
        <f t="shared" si="14"/>
        <v>0</v>
      </c>
      <c r="S58" s="137">
        <f t="shared" si="14"/>
        <v>0</v>
      </c>
      <c r="T58" s="137">
        <f t="shared" si="14"/>
        <v>0</v>
      </c>
      <c r="U58" s="137">
        <f t="shared" si="14"/>
        <v>0</v>
      </c>
      <c r="V58" s="137">
        <f t="shared" si="14"/>
        <v>0</v>
      </c>
      <c r="W58" s="137">
        <f t="shared" si="14"/>
        <v>0</v>
      </c>
      <c r="X58" s="137">
        <f t="shared" si="14"/>
        <v>0</v>
      </c>
      <c r="Y58" s="137">
        <f t="shared" si="14"/>
        <v>0</v>
      </c>
      <c r="Z58" s="144">
        <f t="shared" si="14"/>
        <v>37553</v>
      </c>
    </row>
    <row r="59" spans="1:26" ht="20.25" customHeight="1">
      <c r="A59" s="354" t="s">
        <v>56</v>
      </c>
      <c r="B59" s="147">
        <v>0</v>
      </c>
      <c r="C59" s="147">
        <v>0</v>
      </c>
      <c r="D59" s="147">
        <v>0</v>
      </c>
      <c r="E59" s="147">
        <v>0</v>
      </c>
      <c r="F59" s="147">
        <v>0</v>
      </c>
      <c r="G59" s="147">
        <v>0</v>
      </c>
      <c r="H59" s="147"/>
      <c r="I59" s="147"/>
      <c r="J59" s="147"/>
      <c r="K59" s="147"/>
      <c r="L59" s="147"/>
      <c r="M59" s="148">
        <v>0</v>
      </c>
      <c r="N59" s="147"/>
      <c r="O59" s="147"/>
      <c r="P59" s="147">
        <v>0</v>
      </c>
      <c r="Q59" s="147">
        <v>0</v>
      </c>
      <c r="R59" s="147">
        <v>0</v>
      </c>
      <c r="S59" s="147">
        <v>0</v>
      </c>
      <c r="T59" s="147">
        <v>10000</v>
      </c>
      <c r="U59" s="147"/>
      <c r="V59" s="147"/>
      <c r="W59" s="147"/>
      <c r="X59" s="147"/>
      <c r="Y59" s="147"/>
      <c r="Z59" s="149">
        <f>SUM(B59:Y59)</f>
        <v>10000</v>
      </c>
    </row>
    <row r="60" spans="1:26" ht="20.25" customHeight="1">
      <c r="A60" s="355">
        <v>532000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49">
        <f t="shared" ref="Z60:Z64" si="15">SUM(B60:Y60)</f>
        <v>0</v>
      </c>
    </row>
    <row r="61" spans="1:26" ht="20.25" customHeight="1">
      <c r="A61" s="343" t="s">
        <v>320</v>
      </c>
      <c r="B61" s="136">
        <f>5000+6500+11700+69000+2460+900+489</f>
        <v>96049</v>
      </c>
      <c r="C61" s="136">
        <v>6500</v>
      </c>
      <c r="D61" s="136">
        <v>0</v>
      </c>
      <c r="E61" s="136"/>
      <c r="F61" s="136">
        <v>4000</v>
      </c>
      <c r="G61" s="136"/>
      <c r="H61" s="136"/>
      <c r="I61" s="136"/>
      <c r="J61" s="136"/>
      <c r="K61" s="136"/>
      <c r="L61" s="136"/>
      <c r="M61" s="134">
        <v>0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49">
        <f t="shared" si="15"/>
        <v>106549</v>
      </c>
    </row>
    <row r="62" spans="1:26" ht="20.25" customHeight="1">
      <c r="A62" s="345" t="s">
        <v>321</v>
      </c>
      <c r="B62" s="136">
        <v>0</v>
      </c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4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49">
        <f t="shared" si="15"/>
        <v>0</v>
      </c>
    </row>
    <row r="63" spans="1:26" ht="20.25" customHeight="1">
      <c r="A63" s="345" t="s">
        <v>322</v>
      </c>
      <c r="B63" s="136">
        <f>1000+4810+1320</f>
        <v>7130</v>
      </c>
      <c r="C63" s="136">
        <v>12000</v>
      </c>
      <c r="D63" s="136">
        <v>0</v>
      </c>
      <c r="E63" s="136"/>
      <c r="F63" s="136">
        <v>0</v>
      </c>
      <c r="G63" s="136">
        <v>0</v>
      </c>
      <c r="H63" s="136"/>
      <c r="I63" s="136"/>
      <c r="J63" s="136"/>
      <c r="K63" s="136"/>
      <c r="L63" s="136"/>
      <c r="M63" s="134">
        <v>0</v>
      </c>
      <c r="N63" s="136"/>
      <c r="O63" s="136"/>
      <c r="P63" s="136">
        <v>0</v>
      </c>
      <c r="Q63" s="136">
        <v>0</v>
      </c>
      <c r="R63" s="136">
        <v>0</v>
      </c>
      <c r="S63" s="136">
        <v>0</v>
      </c>
      <c r="T63" s="136">
        <v>16220</v>
      </c>
      <c r="U63" s="136"/>
      <c r="V63" s="136"/>
      <c r="W63" s="136"/>
      <c r="X63" s="136"/>
      <c r="Y63" s="136"/>
      <c r="Z63" s="149">
        <f t="shared" si="15"/>
        <v>35350</v>
      </c>
    </row>
    <row r="64" spans="1:26" ht="20.25" customHeight="1" thickBot="1">
      <c r="A64" s="344" t="s">
        <v>323</v>
      </c>
      <c r="B64" s="136">
        <v>0</v>
      </c>
      <c r="C64" s="136">
        <v>0</v>
      </c>
      <c r="D64" s="136">
        <v>0</v>
      </c>
      <c r="E64" s="136"/>
      <c r="F64" s="136"/>
      <c r="G64" s="136"/>
      <c r="H64" s="136"/>
      <c r="I64" s="136"/>
      <c r="J64" s="136"/>
      <c r="K64" s="136"/>
      <c r="L64" s="136"/>
      <c r="M64" s="142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49">
        <f t="shared" si="15"/>
        <v>0</v>
      </c>
    </row>
    <row r="65" spans="1:208" ht="20.25" customHeight="1">
      <c r="A65" s="352" t="s">
        <v>238</v>
      </c>
      <c r="B65" s="138">
        <f t="shared" ref="B65:Z65" si="16">SUM(B61:B64)</f>
        <v>103179</v>
      </c>
      <c r="C65" s="138">
        <f t="shared" si="16"/>
        <v>18500</v>
      </c>
      <c r="D65" s="138">
        <f t="shared" si="16"/>
        <v>0</v>
      </c>
      <c r="E65" s="138">
        <f t="shared" si="16"/>
        <v>0</v>
      </c>
      <c r="F65" s="138">
        <f t="shared" si="16"/>
        <v>4000</v>
      </c>
      <c r="G65" s="138">
        <f t="shared" si="16"/>
        <v>0</v>
      </c>
      <c r="H65" s="138">
        <f t="shared" si="16"/>
        <v>0</v>
      </c>
      <c r="I65" s="138">
        <f t="shared" si="16"/>
        <v>0</v>
      </c>
      <c r="J65" s="138">
        <f t="shared" si="16"/>
        <v>0</v>
      </c>
      <c r="K65" s="138">
        <f t="shared" si="16"/>
        <v>0</v>
      </c>
      <c r="L65" s="138">
        <f t="shared" si="16"/>
        <v>0</v>
      </c>
      <c r="M65" s="138">
        <f t="shared" si="16"/>
        <v>0</v>
      </c>
      <c r="N65" s="138">
        <f t="shared" si="16"/>
        <v>0</v>
      </c>
      <c r="O65" s="138">
        <f t="shared" si="16"/>
        <v>0</v>
      </c>
      <c r="P65" s="138">
        <f t="shared" si="16"/>
        <v>0</v>
      </c>
      <c r="Q65" s="138">
        <f t="shared" si="16"/>
        <v>0</v>
      </c>
      <c r="R65" s="138">
        <f t="shared" si="16"/>
        <v>0</v>
      </c>
      <c r="S65" s="138">
        <f t="shared" si="16"/>
        <v>0</v>
      </c>
      <c r="T65" s="138">
        <f t="shared" si="16"/>
        <v>16220</v>
      </c>
      <c r="U65" s="138">
        <f t="shared" si="16"/>
        <v>0</v>
      </c>
      <c r="V65" s="138">
        <f t="shared" si="16"/>
        <v>0</v>
      </c>
      <c r="W65" s="138">
        <f t="shared" si="16"/>
        <v>0</v>
      </c>
      <c r="X65" s="138">
        <f t="shared" si="16"/>
        <v>0</v>
      </c>
      <c r="Y65" s="138">
        <f t="shared" si="16"/>
        <v>0</v>
      </c>
      <c r="Z65" s="140">
        <f t="shared" si="16"/>
        <v>141899</v>
      </c>
    </row>
    <row r="66" spans="1:208" ht="20.25" customHeight="1" thickBot="1">
      <c r="A66" s="353" t="s">
        <v>239</v>
      </c>
      <c r="B66" s="137">
        <f t="shared" ref="B66:R66" si="17">B59+B65</f>
        <v>103179</v>
      </c>
      <c r="C66" s="137">
        <f t="shared" si="17"/>
        <v>18500</v>
      </c>
      <c r="D66" s="137">
        <f t="shared" si="17"/>
        <v>0</v>
      </c>
      <c r="E66" s="137">
        <f t="shared" si="17"/>
        <v>0</v>
      </c>
      <c r="F66" s="137">
        <f t="shared" si="17"/>
        <v>4000</v>
      </c>
      <c r="G66" s="137">
        <f t="shared" si="17"/>
        <v>0</v>
      </c>
      <c r="H66" s="137">
        <f t="shared" si="17"/>
        <v>0</v>
      </c>
      <c r="I66" s="137">
        <f t="shared" si="17"/>
        <v>0</v>
      </c>
      <c r="J66" s="137">
        <f t="shared" si="17"/>
        <v>0</v>
      </c>
      <c r="K66" s="137">
        <f t="shared" si="17"/>
        <v>0</v>
      </c>
      <c r="L66" s="137">
        <f t="shared" si="17"/>
        <v>0</v>
      </c>
      <c r="M66" s="137">
        <f t="shared" si="17"/>
        <v>0</v>
      </c>
      <c r="N66" s="137">
        <f t="shared" si="17"/>
        <v>0</v>
      </c>
      <c r="O66" s="137">
        <f t="shared" si="17"/>
        <v>0</v>
      </c>
      <c r="P66" s="137">
        <f t="shared" si="17"/>
        <v>0</v>
      </c>
      <c r="Q66" s="137">
        <f t="shared" si="17"/>
        <v>0</v>
      </c>
      <c r="R66" s="137">
        <f t="shared" si="17"/>
        <v>0</v>
      </c>
      <c r="S66" s="137">
        <f>+S59+S65</f>
        <v>0</v>
      </c>
      <c r="T66" s="137">
        <f t="shared" ref="T66:Z66" si="18">T59+T65</f>
        <v>26220</v>
      </c>
      <c r="U66" s="137">
        <f t="shared" si="18"/>
        <v>0</v>
      </c>
      <c r="V66" s="137">
        <f t="shared" si="18"/>
        <v>0</v>
      </c>
      <c r="W66" s="137">
        <f t="shared" si="18"/>
        <v>0</v>
      </c>
      <c r="X66" s="137">
        <f t="shared" si="18"/>
        <v>0</v>
      </c>
      <c r="Y66" s="137">
        <f t="shared" si="18"/>
        <v>0</v>
      </c>
      <c r="Z66" s="144">
        <f t="shared" si="18"/>
        <v>151899</v>
      </c>
    </row>
    <row r="67" spans="1:208" s="134" customFormat="1" ht="20.25" customHeight="1">
      <c r="A67" s="356" t="s">
        <v>56</v>
      </c>
      <c r="B67" s="131">
        <v>0</v>
      </c>
      <c r="C67" s="136">
        <v>0</v>
      </c>
      <c r="D67" s="147">
        <v>0</v>
      </c>
      <c r="E67" s="147"/>
      <c r="F67" s="131">
        <v>0</v>
      </c>
      <c r="G67" s="131"/>
      <c r="H67" s="131"/>
      <c r="I67" s="147"/>
      <c r="J67" s="150"/>
      <c r="K67" s="150"/>
      <c r="L67" s="150"/>
      <c r="M67" s="150">
        <v>0</v>
      </c>
      <c r="N67" s="147"/>
      <c r="O67" s="147"/>
      <c r="P67" s="147"/>
      <c r="Q67" s="147"/>
      <c r="R67" s="147"/>
      <c r="S67" s="147">
        <v>0</v>
      </c>
      <c r="T67" s="147"/>
      <c r="U67" s="147"/>
      <c r="V67" s="147"/>
      <c r="W67" s="147"/>
      <c r="X67" s="147">
        <v>0</v>
      </c>
      <c r="Y67" s="147"/>
      <c r="Z67" s="143">
        <f t="shared" ref="Z67:Z82" si="19">SUM(B67:Y67)</f>
        <v>0</v>
      </c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</row>
    <row r="68" spans="1:208" s="134" customFormat="1" ht="20.25" customHeight="1">
      <c r="A68" s="355">
        <v>533000</v>
      </c>
      <c r="B68" s="146"/>
      <c r="C68" s="146"/>
      <c r="D68" s="146"/>
      <c r="E68" s="146"/>
      <c r="F68" s="146"/>
      <c r="G68" s="146"/>
      <c r="H68" s="146"/>
      <c r="I68" s="146"/>
      <c r="J68" s="150"/>
      <c r="K68" s="150"/>
      <c r="L68" s="150"/>
      <c r="M68" s="150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3">
        <f t="shared" si="19"/>
        <v>0</v>
      </c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</row>
    <row r="69" spans="1:208" s="134" customFormat="1" ht="20.25" customHeight="1">
      <c r="A69" s="343" t="s">
        <v>324</v>
      </c>
      <c r="B69" s="136">
        <v>0</v>
      </c>
      <c r="C69" s="136">
        <v>0</v>
      </c>
      <c r="D69" s="146"/>
      <c r="E69" s="146"/>
      <c r="F69" s="136"/>
      <c r="G69" s="136"/>
      <c r="H69" s="146"/>
      <c r="I69" s="146"/>
      <c r="J69" s="150"/>
      <c r="K69" s="150"/>
      <c r="L69" s="150"/>
      <c r="M69" s="150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3">
        <f t="shared" si="19"/>
        <v>0</v>
      </c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</row>
    <row r="70" spans="1:208" s="134" customFormat="1" ht="19.5">
      <c r="A70" s="345" t="s">
        <v>325</v>
      </c>
      <c r="B70" s="136">
        <v>0</v>
      </c>
      <c r="C70" s="136">
        <v>0</v>
      </c>
      <c r="D70" s="146"/>
      <c r="E70" s="146"/>
      <c r="F70" s="136"/>
      <c r="G70" s="136"/>
      <c r="H70" s="136"/>
      <c r="I70" s="146"/>
      <c r="J70" s="150"/>
      <c r="K70" s="150"/>
      <c r="L70" s="150"/>
      <c r="M70" s="150">
        <v>0</v>
      </c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3">
        <f t="shared" si="19"/>
        <v>0</v>
      </c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</row>
    <row r="71" spans="1:208" s="134" customFormat="1" ht="19.5">
      <c r="A71" s="345" t="s">
        <v>326</v>
      </c>
      <c r="B71" s="136">
        <v>0</v>
      </c>
      <c r="C71" s="136"/>
      <c r="D71" s="146"/>
      <c r="E71" s="146"/>
      <c r="F71" s="136">
        <v>0</v>
      </c>
      <c r="G71" s="136">
        <v>0</v>
      </c>
      <c r="H71" s="136"/>
      <c r="I71" s="146"/>
      <c r="J71" s="150"/>
      <c r="K71" s="150"/>
      <c r="L71" s="150"/>
      <c r="M71" s="150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33">
        <f t="shared" si="19"/>
        <v>0</v>
      </c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</row>
    <row r="72" spans="1:208" s="134" customFormat="1" ht="20.25" customHeight="1">
      <c r="A72" s="345" t="s">
        <v>328</v>
      </c>
      <c r="B72" s="136">
        <v>0</v>
      </c>
      <c r="C72" s="136"/>
      <c r="D72" s="146"/>
      <c r="E72" s="146"/>
      <c r="F72" s="136"/>
      <c r="G72" s="136"/>
      <c r="H72" s="136"/>
      <c r="I72" s="146"/>
      <c r="J72" s="150"/>
      <c r="K72" s="150"/>
      <c r="L72" s="150"/>
      <c r="M72" s="150">
        <v>0</v>
      </c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>
        <v>0</v>
      </c>
      <c r="Y72" s="146"/>
      <c r="Z72" s="133">
        <f t="shared" si="19"/>
        <v>0</v>
      </c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</row>
    <row r="73" spans="1:208" s="134" customFormat="1" ht="20.25" customHeight="1">
      <c r="A73" s="345" t="s">
        <v>329</v>
      </c>
      <c r="B73" s="136">
        <v>7350</v>
      </c>
      <c r="C73" s="136">
        <v>0</v>
      </c>
      <c r="D73" s="146">
        <v>1500</v>
      </c>
      <c r="E73" s="146"/>
      <c r="F73" s="136"/>
      <c r="G73" s="136"/>
      <c r="H73" s="136"/>
      <c r="I73" s="146"/>
      <c r="J73" s="150"/>
      <c r="K73" s="150">
        <v>0</v>
      </c>
      <c r="L73" s="150"/>
      <c r="M73" s="150">
        <v>0</v>
      </c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33">
        <f t="shared" si="19"/>
        <v>8850</v>
      </c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</row>
    <row r="74" spans="1:208" s="134" customFormat="1" ht="19.5">
      <c r="A74" s="345" t="s">
        <v>330</v>
      </c>
      <c r="B74" s="136">
        <v>0</v>
      </c>
      <c r="C74" s="136">
        <v>0</v>
      </c>
      <c r="D74" s="146">
        <v>0</v>
      </c>
      <c r="E74" s="146"/>
      <c r="F74" s="136"/>
      <c r="G74" s="136"/>
      <c r="H74" s="146"/>
      <c r="I74" s="146"/>
      <c r="J74" s="150"/>
      <c r="K74" s="150"/>
      <c r="L74" s="150"/>
      <c r="M74" s="150">
        <v>0</v>
      </c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33">
        <f t="shared" si="19"/>
        <v>0</v>
      </c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</row>
    <row r="75" spans="1:208" s="134" customFormat="1" ht="19.5">
      <c r="A75" s="345" t="s">
        <v>331</v>
      </c>
      <c r="B75" s="136"/>
      <c r="C75" s="136"/>
      <c r="D75" s="151"/>
      <c r="E75" s="151"/>
      <c r="F75" s="136"/>
      <c r="G75" s="136"/>
      <c r="H75" s="151"/>
      <c r="I75" s="151"/>
      <c r="J75" s="150"/>
      <c r="K75" s="150"/>
      <c r="L75" s="150"/>
      <c r="M75" s="150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33">
        <f t="shared" si="19"/>
        <v>0</v>
      </c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</row>
    <row r="76" spans="1:208" s="134" customFormat="1" ht="20.25" customHeight="1">
      <c r="A76" s="345" t="s">
        <v>332</v>
      </c>
      <c r="B76" s="136"/>
      <c r="C76" s="136"/>
      <c r="D76" s="151"/>
      <c r="E76" s="151"/>
      <c r="F76" s="136"/>
      <c r="G76" s="136"/>
      <c r="H76" s="151"/>
      <c r="I76" s="151"/>
      <c r="J76" s="150"/>
      <c r="K76" s="150"/>
      <c r="L76" s="150"/>
      <c r="M76" s="150"/>
      <c r="N76" s="151"/>
      <c r="O76" s="151"/>
      <c r="P76" s="151"/>
      <c r="Q76" s="151"/>
      <c r="R76" s="151"/>
      <c r="S76" s="151"/>
      <c r="T76" s="151"/>
      <c r="U76" s="151"/>
      <c r="V76" s="151">
        <v>0</v>
      </c>
      <c r="W76" s="151"/>
      <c r="X76" s="151"/>
      <c r="Y76" s="151"/>
      <c r="Z76" s="133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</row>
    <row r="77" spans="1:208" s="134" customFormat="1" ht="20.25" customHeight="1">
      <c r="A77" s="345" t="s">
        <v>333</v>
      </c>
      <c r="B77" s="136"/>
      <c r="C77" s="136"/>
      <c r="D77" s="151"/>
      <c r="E77" s="151"/>
      <c r="F77" s="136"/>
      <c r="G77" s="136"/>
      <c r="H77" s="151"/>
      <c r="I77" s="151"/>
      <c r="J77" s="150"/>
      <c r="K77" s="150"/>
      <c r="L77" s="150"/>
      <c r="M77" s="150"/>
      <c r="N77" s="151"/>
      <c r="O77" s="151"/>
      <c r="P77" s="151"/>
      <c r="Q77" s="151"/>
      <c r="R77" s="151"/>
      <c r="S77" s="151">
        <v>0</v>
      </c>
      <c r="T77" s="151"/>
      <c r="U77" s="151"/>
      <c r="V77" s="151"/>
      <c r="W77" s="151"/>
      <c r="X77" s="151"/>
      <c r="Y77" s="151"/>
      <c r="Z77" s="133">
        <f t="shared" si="19"/>
        <v>0</v>
      </c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</row>
    <row r="78" spans="1:208" s="134" customFormat="1" ht="20.25" customHeight="1">
      <c r="A78" s="345" t="s">
        <v>334</v>
      </c>
      <c r="B78" s="136">
        <v>4780</v>
      </c>
      <c r="C78" s="136"/>
      <c r="D78" s="151"/>
      <c r="E78" s="151"/>
      <c r="F78" s="136"/>
      <c r="G78" s="136"/>
      <c r="H78" s="151"/>
      <c r="I78" s="151"/>
      <c r="J78" s="150"/>
      <c r="K78" s="150"/>
      <c r="L78" s="150"/>
      <c r="M78" s="150"/>
      <c r="N78" s="151"/>
      <c r="O78" s="151"/>
      <c r="P78" s="151"/>
      <c r="Q78" s="151"/>
      <c r="R78" s="151"/>
      <c r="S78" s="151">
        <v>0</v>
      </c>
      <c r="T78" s="151"/>
      <c r="U78" s="151"/>
      <c r="V78" s="151"/>
      <c r="W78" s="151"/>
      <c r="X78" s="151"/>
      <c r="Y78" s="151"/>
      <c r="Z78" s="133">
        <f t="shared" si="19"/>
        <v>4780</v>
      </c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</row>
    <row r="79" spans="1:208" s="134" customFormat="1" ht="20.25" customHeight="1">
      <c r="A79" s="345" t="s">
        <v>335</v>
      </c>
      <c r="B79" s="136">
        <v>0</v>
      </c>
      <c r="C79" s="136">
        <v>0</v>
      </c>
      <c r="D79" s="151"/>
      <c r="E79" s="151"/>
      <c r="F79" s="136"/>
      <c r="G79" s="136">
        <v>0</v>
      </c>
      <c r="H79" s="151">
        <v>0</v>
      </c>
      <c r="I79" s="151"/>
      <c r="J79" s="151"/>
      <c r="K79" s="151"/>
      <c r="L79" s="151"/>
      <c r="M79" s="150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33">
        <f t="shared" si="19"/>
        <v>0</v>
      </c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</row>
    <row r="80" spans="1:208" s="134" customFormat="1" ht="20.25" customHeight="1" thickBot="1">
      <c r="A80" s="346" t="s">
        <v>336</v>
      </c>
      <c r="B80" s="136"/>
      <c r="C80" s="136"/>
      <c r="D80" s="151"/>
      <c r="E80" s="151"/>
      <c r="F80" s="136">
        <v>0</v>
      </c>
      <c r="G80" s="136"/>
      <c r="H80" s="151"/>
      <c r="I80" s="151"/>
      <c r="J80" s="151"/>
      <c r="K80" s="151"/>
      <c r="L80" s="151"/>
      <c r="M80" s="150">
        <v>0</v>
      </c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>
        <v>0</v>
      </c>
      <c r="Y80" s="151"/>
      <c r="Z80" s="133">
        <f t="shared" si="19"/>
        <v>0</v>
      </c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</row>
    <row r="81" spans="1:208" s="134" customFormat="1" ht="20.25" customHeight="1">
      <c r="A81" s="352" t="s">
        <v>238</v>
      </c>
      <c r="B81" s="138">
        <f>SUM(B68:B80)</f>
        <v>12130</v>
      </c>
      <c r="C81" s="138">
        <f t="shared" ref="C81:Y81" si="20">SUM(C69:C80)</f>
        <v>0</v>
      </c>
      <c r="D81" s="138">
        <f t="shared" si="20"/>
        <v>1500</v>
      </c>
      <c r="E81" s="138">
        <f t="shared" si="20"/>
        <v>0</v>
      </c>
      <c r="F81" s="138">
        <f t="shared" si="20"/>
        <v>0</v>
      </c>
      <c r="G81" s="138">
        <f t="shared" si="20"/>
        <v>0</v>
      </c>
      <c r="H81" s="138">
        <f t="shared" si="20"/>
        <v>0</v>
      </c>
      <c r="I81" s="138">
        <f t="shared" si="20"/>
        <v>0</v>
      </c>
      <c r="J81" s="138">
        <f t="shared" si="20"/>
        <v>0</v>
      </c>
      <c r="K81" s="138">
        <f t="shared" si="20"/>
        <v>0</v>
      </c>
      <c r="L81" s="138">
        <f t="shared" si="20"/>
        <v>0</v>
      </c>
      <c r="M81" s="138">
        <f t="shared" si="20"/>
        <v>0</v>
      </c>
      <c r="N81" s="138">
        <f t="shared" si="20"/>
        <v>0</v>
      </c>
      <c r="O81" s="138">
        <f t="shared" si="20"/>
        <v>0</v>
      </c>
      <c r="P81" s="138">
        <f t="shared" si="20"/>
        <v>0</v>
      </c>
      <c r="Q81" s="138">
        <f t="shared" si="20"/>
        <v>0</v>
      </c>
      <c r="R81" s="138">
        <f t="shared" si="20"/>
        <v>0</v>
      </c>
      <c r="S81" s="138">
        <f t="shared" si="20"/>
        <v>0</v>
      </c>
      <c r="T81" s="138">
        <f t="shared" si="20"/>
        <v>0</v>
      </c>
      <c r="U81" s="138">
        <f t="shared" si="20"/>
        <v>0</v>
      </c>
      <c r="V81" s="138">
        <f t="shared" si="20"/>
        <v>0</v>
      </c>
      <c r="W81" s="138">
        <f t="shared" si="20"/>
        <v>0</v>
      </c>
      <c r="X81" s="138">
        <f t="shared" si="20"/>
        <v>0</v>
      </c>
      <c r="Y81" s="138">
        <f t="shared" si="20"/>
        <v>0</v>
      </c>
      <c r="Z81" s="140">
        <f t="shared" si="19"/>
        <v>13630</v>
      </c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</row>
    <row r="82" spans="1:208" s="134" customFormat="1" ht="20.25" customHeight="1" thickBot="1">
      <c r="A82" s="353" t="s">
        <v>239</v>
      </c>
      <c r="B82" s="137">
        <f t="shared" ref="B82:Y82" si="21">B81+B67</f>
        <v>12130</v>
      </c>
      <c r="C82" s="137">
        <f t="shared" si="21"/>
        <v>0</v>
      </c>
      <c r="D82" s="137">
        <f t="shared" si="21"/>
        <v>1500</v>
      </c>
      <c r="E82" s="137">
        <f t="shared" si="21"/>
        <v>0</v>
      </c>
      <c r="F82" s="137">
        <f t="shared" si="21"/>
        <v>0</v>
      </c>
      <c r="G82" s="137">
        <f t="shared" si="21"/>
        <v>0</v>
      </c>
      <c r="H82" s="137">
        <f t="shared" si="21"/>
        <v>0</v>
      </c>
      <c r="I82" s="137">
        <f t="shared" si="21"/>
        <v>0</v>
      </c>
      <c r="J82" s="137">
        <f t="shared" si="21"/>
        <v>0</v>
      </c>
      <c r="K82" s="137">
        <f t="shared" si="21"/>
        <v>0</v>
      </c>
      <c r="L82" s="137">
        <f t="shared" si="21"/>
        <v>0</v>
      </c>
      <c r="M82" s="137">
        <f t="shared" si="21"/>
        <v>0</v>
      </c>
      <c r="N82" s="137">
        <f t="shared" si="21"/>
        <v>0</v>
      </c>
      <c r="O82" s="137">
        <f t="shared" si="21"/>
        <v>0</v>
      </c>
      <c r="P82" s="137">
        <f t="shared" si="21"/>
        <v>0</v>
      </c>
      <c r="Q82" s="137">
        <f t="shared" si="21"/>
        <v>0</v>
      </c>
      <c r="R82" s="137">
        <f t="shared" si="21"/>
        <v>0</v>
      </c>
      <c r="S82" s="137">
        <f t="shared" si="21"/>
        <v>0</v>
      </c>
      <c r="T82" s="137">
        <f t="shared" si="21"/>
        <v>0</v>
      </c>
      <c r="U82" s="137">
        <f t="shared" si="21"/>
        <v>0</v>
      </c>
      <c r="V82" s="137">
        <f t="shared" si="21"/>
        <v>0</v>
      </c>
      <c r="W82" s="137">
        <f t="shared" si="21"/>
        <v>0</v>
      </c>
      <c r="X82" s="137">
        <f t="shared" si="21"/>
        <v>0</v>
      </c>
      <c r="Y82" s="137">
        <f t="shared" si="21"/>
        <v>0</v>
      </c>
      <c r="Z82" s="144">
        <f t="shared" si="19"/>
        <v>13630</v>
      </c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</row>
    <row r="83" spans="1:208" s="141" customFormat="1" ht="20.25" customHeight="1">
      <c r="A83" s="168"/>
    </row>
    <row r="84" spans="1:208" s="141" customFormat="1" ht="20.25" customHeight="1">
      <c r="A84" s="168"/>
    </row>
    <row r="85" spans="1:208" s="141" customFormat="1" ht="20.25" customHeight="1">
      <c r="A85" s="168"/>
    </row>
    <row r="86" spans="1:208" s="141" customFormat="1" ht="20.25" customHeight="1">
      <c r="A86" s="168"/>
    </row>
    <row r="87" spans="1:208" ht="20.25" customHeight="1">
      <c r="A87" s="512" t="s">
        <v>198</v>
      </c>
      <c r="B87" s="512"/>
      <c r="C87" s="512"/>
      <c r="D87" s="512"/>
      <c r="E87" s="512"/>
      <c r="F87" s="512"/>
      <c r="G87" s="512"/>
      <c r="H87" s="512"/>
      <c r="I87" s="512"/>
      <c r="J87" s="512"/>
      <c r="K87" s="512"/>
      <c r="L87" s="512"/>
      <c r="M87" s="512"/>
      <c r="N87" s="512"/>
      <c r="O87" s="512"/>
      <c r="P87" s="512"/>
      <c r="Q87" s="512"/>
      <c r="R87" s="512"/>
      <c r="S87" s="512"/>
      <c r="T87" s="512"/>
      <c r="U87" s="512"/>
      <c r="V87" s="512"/>
      <c r="W87" s="512"/>
      <c r="X87" s="512"/>
      <c r="Y87" s="512"/>
      <c r="Z87" s="512"/>
    </row>
    <row r="88" spans="1:208" ht="20.25" customHeight="1">
      <c r="A88" s="512" t="s">
        <v>199</v>
      </c>
      <c r="B88" s="512"/>
      <c r="C88" s="512"/>
      <c r="D88" s="512"/>
      <c r="E88" s="512"/>
      <c r="F88" s="512"/>
      <c r="G88" s="512"/>
      <c r="H88" s="512"/>
      <c r="I88" s="512"/>
      <c r="J88" s="512"/>
      <c r="K88" s="512"/>
      <c r="L88" s="512"/>
      <c r="M88" s="512"/>
      <c r="N88" s="512"/>
      <c r="O88" s="512"/>
      <c r="P88" s="512"/>
      <c r="Q88" s="512"/>
      <c r="R88" s="512"/>
      <c r="S88" s="512"/>
      <c r="T88" s="512"/>
      <c r="U88" s="512"/>
      <c r="V88" s="512"/>
      <c r="W88" s="512"/>
      <c r="X88" s="512"/>
      <c r="Y88" s="512"/>
      <c r="Z88" s="512"/>
    </row>
    <row r="89" spans="1:208" ht="20.25" customHeight="1" thickBot="1">
      <c r="A89" s="513" t="str">
        <f>A3</f>
        <v>วันที่  30  พฤศจิกายน  2556</v>
      </c>
      <c r="B89" s="513"/>
      <c r="C89" s="513"/>
      <c r="D89" s="513"/>
      <c r="E89" s="513"/>
      <c r="F89" s="513"/>
      <c r="G89" s="513"/>
      <c r="H89" s="513"/>
      <c r="I89" s="513"/>
      <c r="J89" s="513"/>
      <c r="K89" s="513"/>
      <c r="L89" s="513"/>
      <c r="M89" s="513"/>
      <c r="N89" s="513"/>
      <c r="O89" s="513"/>
      <c r="P89" s="513"/>
      <c r="Q89" s="513"/>
      <c r="R89" s="513"/>
      <c r="S89" s="513"/>
      <c r="T89" s="513"/>
      <c r="U89" s="513"/>
      <c r="V89" s="513"/>
      <c r="W89" s="513"/>
      <c r="X89" s="513"/>
      <c r="Y89" s="513"/>
      <c r="Z89" s="513"/>
    </row>
    <row r="90" spans="1:208" ht="20.25" customHeight="1">
      <c r="A90" s="352" t="s">
        <v>200</v>
      </c>
      <c r="B90" s="515" t="s">
        <v>201</v>
      </c>
      <c r="C90" s="517"/>
      <c r="D90" s="515" t="s">
        <v>202</v>
      </c>
      <c r="E90" s="517"/>
      <c r="F90" s="515" t="s">
        <v>203</v>
      </c>
      <c r="G90" s="516"/>
      <c r="H90" s="517"/>
      <c r="I90" s="515" t="s">
        <v>204</v>
      </c>
      <c r="J90" s="517"/>
      <c r="K90" s="515" t="s">
        <v>205</v>
      </c>
      <c r="L90" s="517"/>
      <c r="M90" s="515" t="s">
        <v>206</v>
      </c>
      <c r="N90" s="516"/>
      <c r="O90" s="517"/>
      <c r="P90" s="515" t="s">
        <v>207</v>
      </c>
      <c r="Q90" s="517"/>
      <c r="R90" s="515" t="s">
        <v>208</v>
      </c>
      <c r="S90" s="516"/>
      <c r="T90" s="517"/>
      <c r="U90" s="127" t="s">
        <v>209</v>
      </c>
      <c r="V90" s="515" t="s">
        <v>210</v>
      </c>
      <c r="W90" s="517"/>
      <c r="X90" s="127" t="s">
        <v>211</v>
      </c>
      <c r="Y90" s="127" t="s">
        <v>212</v>
      </c>
      <c r="Z90" s="520" t="s">
        <v>55</v>
      </c>
    </row>
    <row r="91" spans="1:208" ht="20.25" customHeight="1" thickBot="1">
      <c r="A91" s="353" t="s">
        <v>213</v>
      </c>
      <c r="B91" s="129" t="s">
        <v>214</v>
      </c>
      <c r="C91" s="129" t="s">
        <v>215</v>
      </c>
      <c r="D91" s="129" t="s">
        <v>216</v>
      </c>
      <c r="E91" s="129" t="s">
        <v>217</v>
      </c>
      <c r="F91" s="129" t="s">
        <v>218</v>
      </c>
      <c r="G91" s="129" t="s">
        <v>219</v>
      </c>
      <c r="H91" s="129" t="s">
        <v>220</v>
      </c>
      <c r="I91" s="129" t="s">
        <v>221</v>
      </c>
      <c r="J91" s="129" t="s">
        <v>222</v>
      </c>
      <c r="K91" s="129" t="s">
        <v>223</v>
      </c>
      <c r="L91" s="129" t="s">
        <v>224</v>
      </c>
      <c r="M91" s="130" t="s">
        <v>225</v>
      </c>
      <c r="N91" s="129" t="s">
        <v>226</v>
      </c>
      <c r="O91" s="129" t="s">
        <v>227</v>
      </c>
      <c r="P91" s="129" t="s">
        <v>228</v>
      </c>
      <c r="Q91" s="129" t="s">
        <v>229</v>
      </c>
      <c r="R91" s="129" t="s">
        <v>230</v>
      </c>
      <c r="S91" s="129" t="s">
        <v>231</v>
      </c>
      <c r="T91" s="129" t="s">
        <v>232</v>
      </c>
      <c r="U91" s="129" t="s">
        <v>233</v>
      </c>
      <c r="V91" s="129" t="s">
        <v>234</v>
      </c>
      <c r="W91" s="129" t="s">
        <v>235</v>
      </c>
      <c r="X91" s="129" t="s">
        <v>236</v>
      </c>
      <c r="Y91" s="129" t="s">
        <v>237</v>
      </c>
      <c r="Z91" s="521"/>
    </row>
    <row r="92" spans="1:208" ht="20.25" customHeight="1">
      <c r="A92" s="356" t="s">
        <v>56</v>
      </c>
      <c r="B92" s="131">
        <v>14751.67</v>
      </c>
      <c r="C92" s="131">
        <v>0</v>
      </c>
      <c r="D92" s="131"/>
      <c r="E92" s="131">
        <v>110.21</v>
      </c>
      <c r="F92" s="131">
        <v>466</v>
      </c>
      <c r="G92" s="131"/>
      <c r="H92" s="131"/>
      <c r="I92" s="131"/>
      <c r="J92" s="131"/>
      <c r="K92" s="131"/>
      <c r="L92" s="131"/>
      <c r="M92" s="131">
        <v>0</v>
      </c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>
        <f>52063.43-385</f>
        <v>51678.43</v>
      </c>
      <c r="Y92" s="131">
        <v>0</v>
      </c>
      <c r="Z92" s="152">
        <f>SUM(B92:Y92)</f>
        <v>67006.31</v>
      </c>
    </row>
    <row r="93" spans="1:208" ht="20.25" customHeight="1">
      <c r="A93" s="355">
        <v>534000</v>
      </c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53">
        <f>SUM(B93:Y93)</f>
        <v>0</v>
      </c>
    </row>
    <row r="94" spans="1:208" ht="20.25" customHeight="1">
      <c r="A94" s="340" t="s">
        <v>338</v>
      </c>
      <c r="B94" s="134">
        <v>15362.11</v>
      </c>
      <c r="C94" s="134"/>
      <c r="D94" s="134"/>
      <c r="E94" s="134"/>
      <c r="F94" s="134">
        <v>328.57</v>
      </c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>
        <f>52208.86-996</f>
        <v>51212.86</v>
      </c>
      <c r="Y94" s="134"/>
      <c r="Z94" s="143">
        <f>SUM(B94:Y94)</f>
        <v>66903.540000000008</v>
      </c>
    </row>
    <row r="95" spans="1:208" ht="20.25" customHeight="1">
      <c r="A95" s="342" t="s">
        <v>339</v>
      </c>
      <c r="B95" s="134">
        <f>179.49+248.24</f>
        <v>427.73</v>
      </c>
      <c r="C95" s="134"/>
      <c r="D95" s="134"/>
      <c r="E95" s="134">
        <v>132.68</v>
      </c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43">
        <f>SUM(B95:Y95)</f>
        <v>560.41000000000008</v>
      </c>
    </row>
    <row r="96" spans="1:208" ht="20.25" customHeight="1">
      <c r="A96" s="342" t="s">
        <v>340</v>
      </c>
      <c r="B96" s="131">
        <v>1194</v>
      </c>
      <c r="C96" s="131">
        <v>0</v>
      </c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4"/>
      <c r="Y96" s="134"/>
      <c r="Z96" s="143">
        <f>SUM(B96:Y96)</f>
        <v>1194</v>
      </c>
    </row>
    <row r="97" spans="1:26" ht="20.25" customHeight="1">
      <c r="A97" s="342" t="s">
        <v>341</v>
      </c>
      <c r="B97" s="131">
        <v>0</v>
      </c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6"/>
      <c r="Y97" s="136"/>
      <c r="Z97" s="154"/>
    </row>
    <row r="98" spans="1:26" ht="20.25" customHeight="1" thickBot="1">
      <c r="A98" s="347">
        <v>340800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7"/>
      <c r="Y98" s="137"/>
      <c r="Z98" s="155">
        <f>SUM(B98:Y98)</f>
        <v>0</v>
      </c>
    </row>
    <row r="99" spans="1:26" ht="20.25" customHeight="1">
      <c r="A99" s="352" t="s">
        <v>238</v>
      </c>
      <c r="B99" s="138">
        <f>SUM(B94:B98)</f>
        <v>16983.84</v>
      </c>
      <c r="C99" s="138">
        <f>SUM(C94:C96)</f>
        <v>0</v>
      </c>
      <c r="D99" s="138">
        <f>SUM(D94:D96)</f>
        <v>0</v>
      </c>
      <c r="E99" s="138">
        <f>SUM(E93:E98)</f>
        <v>132.68</v>
      </c>
      <c r="F99" s="138">
        <f t="shared" ref="F99:V99" si="22">SUM(F94:F96)</f>
        <v>328.57</v>
      </c>
      <c r="G99" s="138">
        <f t="shared" si="22"/>
        <v>0</v>
      </c>
      <c r="H99" s="138">
        <f t="shared" si="22"/>
        <v>0</v>
      </c>
      <c r="I99" s="138">
        <f t="shared" si="22"/>
        <v>0</v>
      </c>
      <c r="J99" s="138">
        <f t="shared" si="22"/>
        <v>0</v>
      </c>
      <c r="K99" s="138">
        <f t="shared" si="22"/>
        <v>0</v>
      </c>
      <c r="L99" s="138">
        <f t="shared" si="22"/>
        <v>0</v>
      </c>
      <c r="M99" s="138">
        <f t="shared" si="22"/>
        <v>0</v>
      </c>
      <c r="N99" s="138">
        <f t="shared" si="22"/>
        <v>0</v>
      </c>
      <c r="O99" s="138">
        <f t="shared" si="22"/>
        <v>0</v>
      </c>
      <c r="P99" s="138">
        <f t="shared" si="22"/>
        <v>0</v>
      </c>
      <c r="Q99" s="138">
        <f t="shared" si="22"/>
        <v>0</v>
      </c>
      <c r="R99" s="138">
        <f t="shared" si="22"/>
        <v>0</v>
      </c>
      <c r="S99" s="138">
        <f t="shared" si="22"/>
        <v>0</v>
      </c>
      <c r="T99" s="138">
        <f t="shared" si="22"/>
        <v>0</v>
      </c>
      <c r="U99" s="138">
        <f t="shared" si="22"/>
        <v>0</v>
      </c>
      <c r="V99" s="138">
        <f t="shared" si="22"/>
        <v>0</v>
      </c>
      <c r="W99" s="138"/>
      <c r="X99" s="138">
        <f>SUM(X94:X98)</f>
        <v>51212.86</v>
      </c>
      <c r="Y99" s="138"/>
      <c r="Z99" s="156">
        <f>SUM(B99:Y99)</f>
        <v>68657.95</v>
      </c>
    </row>
    <row r="100" spans="1:26" ht="20.25" customHeight="1" thickBot="1">
      <c r="A100" s="353" t="s">
        <v>239</v>
      </c>
      <c r="B100" s="137">
        <f t="shared" ref="B100:Z100" si="23">B92+B99</f>
        <v>31735.510000000002</v>
      </c>
      <c r="C100" s="137">
        <f t="shared" si="23"/>
        <v>0</v>
      </c>
      <c r="D100" s="137">
        <f t="shared" si="23"/>
        <v>0</v>
      </c>
      <c r="E100" s="137">
        <f t="shared" si="23"/>
        <v>242.89</v>
      </c>
      <c r="F100" s="137">
        <f t="shared" si="23"/>
        <v>794.56999999999994</v>
      </c>
      <c r="G100" s="137">
        <f t="shared" si="23"/>
        <v>0</v>
      </c>
      <c r="H100" s="137">
        <f t="shared" si="23"/>
        <v>0</v>
      </c>
      <c r="I100" s="137">
        <f t="shared" si="23"/>
        <v>0</v>
      </c>
      <c r="J100" s="137">
        <f t="shared" si="23"/>
        <v>0</v>
      </c>
      <c r="K100" s="137">
        <f t="shared" si="23"/>
        <v>0</v>
      </c>
      <c r="L100" s="137">
        <f t="shared" si="23"/>
        <v>0</v>
      </c>
      <c r="M100" s="137">
        <f t="shared" si="23"/>
        <v>0</v>
      </c>
      <c r="N100" s="137">
        <f t="shared" si="23"/>
        <v>0</v>
      </c>
      <c r="O100" s="137">
        <f t="shared" si="23"/>
        <v>0</v>
      </c>
      <c r="P100" s="137">
        <f t="shared" si="23"/>
        <v>0</v>
      </c>
      <c r="Q100" s="137">
        <f t="shared" si="23"/>
        <v>0</v>
      </c>
      <c r="R100" s="137">
        <f t="shared" si="23"/>
        <v>0</v>
      </c>
      <c r="S100" s="137">
        <f t="shared" si="23"/>
        <v>0</v>
      </c>
      <c r="T100" s="137">
        <f t="shared" si="23"/>
        <v>0</v>
      </c>
      <c r="U100" s="137">
        <f t="shared" si="23"/>
        <v>0</v>
      </c>
      <c r="V100" s="137">
        <f t="shared" si="23"/>
        <v>0</v>
      </c>
      <c r="W100" s="137">
        <f t="shared" si="23"/>
        <v>0</v>
      </c>
      <c r="X100" s="137">
        <f t="shared" si="23"/>
        <v>102891.29000000001</v>
      </c>
      <c r="Y100" s="137">
        <f t="shared" si="23"/>
        <v>0</v>
      </c>
      <c r="Z100" s="144">
        <f t="shared" si="23"/>
        <v>135664.26</v>
      </c>
    </row>
    <row r="101" spans="1:26" ht="20.25" customHeight="1">
      <c r="A101" s="362" t="s">
        <v>56</v>
      </c>
      <c r="B101" s="131">
        <v>0</v>
      </c>
      <c r="C101" s="131">
        <v>0</v>
      </c>
      <c r="D101" s="131">
        <v>0</v>
      </c>
      <c r="E101" s="131"/>
      <c r="F101" s="131"/>
      <c r="G101" s="131">
        <v>0</v>
      </c>
      <c r="H101" s="131"/>
      <c r="I101" s="131"/>
      <c r="J101" s="131"/>
      <c r="K101" s="131"/>
      <c r="L101" s="131"/>
      <c r="M101" s="131">
        <v>0</v>
      </c>
      <c r="N101" s="131"/>
      <c r="O101" s="131"/>
      <c r="P101" s="131"/>
      <c r="Q101" s="131"/>
      <c r="R101" s="131">
        <v>0</v>
      </c>
      <c r="S101" s="131">
        <v>0</v>
      </c>
      <c r="T101" s="131">
        <v>0</v>
      </c>
      <c r="U101" s="131">
        <v>0</v>
      </c>
      <c r="V101" s="131">
        <v>0</v>
      </c>
      <c r="W101" s="131">
        <v>0</v>
      </c>
      <c r="X101" s="131">
        <v>0</v>
      </c>
      <c r="Y101" s="131">
        <v>0</v>
      </c>
      <c r="Z101" s="153">
        <f t="shared" ref="Z101:Z108" si="24">SUM(B101:Y101)</f>
        <v>0</v>
      </c>
    </row>
    <row r="102" spans="1:26" ht="20.25" customHeight="1">
      <c r="A102" s="355">
        <v>541000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53">
        <f t="shared" si="24"/>
        <v>0</v>
      </c>
    </row>
    <row r="103" spans="1:26" ht="20.25" customHeight="1">
      <c r="A103" s="343" t="s">
        <v>344</v>
      </c>
      <c r="B103" s="134">
        <v>0</v>
      </c>
      <c r="C103" s="134">
        <v>0</v>
      </c>
      <c r="D103" s="134"/>
      <c r="E103" s="134"/>
      <c r="F103" s="134"/>
      <c r="G103" s="134">
        <v>0</v>
      </c>
      <c r="H103" s="134"/>
      <c r="I103" s="134"/>
      <c r="J103" s="134"/>
      <c r="K103" s="134"/>
      <c r="L103" s="134"/>
      <c r="M103" s="134">
        <v>0</v>
      </c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43">
        <f t="shared" si="24"/>
        <v>0</v>
      </c>
    </row>
    <row r="104" spans="1:26" ht="20.25" customHeight="1">
      <c r="A104" s="345" t="s">
        <v>345</v>
      </c>
      <c r="B104" s="131">
        <v>0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>
        <v>0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6"/>
      <c r="Y104" s="131"/>
      <c r="Z104" s="143">
        <f t="shared" si="24"/>
        <v>0</v>
      </c>
    </row>
    <row r="105" spans="1:26" ht="20.25" customHeight="1">
      <c r="A105" s="345" t="s">
        <v>346</v>
      </c>
      <c r="B105" s="131">
        <v>0</v>
      </c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6"/>
      <c r="Y105" s="131"/>
      <c r="Z105" s="143">
        <f t="shared" si="24"/>
        <v>0</v>
      </c>
    </row>
    <row r="106" spans="1:26" ht="20.25" customHeight="1">
      <c r="A106" s="345" t="s">
        <v>347</v>
      </c>
      <c r="B106" s="131">
        <v>0</v>
      </c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>
        <v>0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6"/>
      <c r="Y106" s="131"/>
      <c r="Z106" s="143">
        <f t="shared" si="24"/>
        <v>0</v>
      </c>
    </row>
    <row r="107" spans="1:26" ht="20.25" customHeight="1">
      <c r="A107" s="345" t="s">
        <v>348</v>
      </c>
      <c r="B107" s="131">
        <v>0</v>
      </c>
      <c r="C107" s="131">
        <v>0</v>
      </c>
      <c r="D107" s="131">
        <v>0</v>
      </c>
      <c r="E107" s="131"/>
      <c r="F107" s="131"/>
      <c r="G107" s="131"/>
      <c r="H107" s="131"/>
      <c r="I107" s="131"/>
      <c r="J107" s="131"/>
      <c r="K107" s="131"/>
      <c r="L107" s="131"/>
      <c r="M107" s="131">
        <v>0</v>
      </c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4"/>
      <c r="Y107" s="134"/>
      <c r="Z107" s="143">
        <f t="shared" si="24"/>
        <v>0</v>
      </c>
    </row>
    <row r="108" spans="1:26" ht="20.25" customHeight="1" thickBot="1">
      <c r="A108" s="346" t="s">
        <v>349</v>
      </c>
      <c r="B108" s="131">
        <v>17580.099999999999</v>
      </c>
      <c r="C108" s="131"/>
      <c r="D108" s="131">
        <v>0</v>
      </c>
      <c r="E108" s="131">
        <v>31500</v>
      </c>
      <c r="F108" s="131"/>
      <c r="G108" s="131"/>
      <c r="H108" s="131"/>
      <c r="I108" s="131"/>
      <c r="J108" s="131"/>
      <c r="K108" s="131"/>
      <c r="L108" s="131"/>
      <c r="M108" s="131">
        <v>0</v>
      </c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7"/>
      <c r="Y108" s="137"/>
      <c r="Z108" s="143">
        <f t="shared" si="24"/>
        <v>49080.1</v>
      </c>
    </row>
    <row r="109" spans="1:26" ht="20.25" customHeight="1">
      <c r="A109" s="352" t="s">
        <v>238</v>
      </c>
      <c r="B109" s="138">
        <f t="shared" ref="B109:Z109" si="25">SUM(B102:B108)</f>
        <v>17580.099999999999</v>
      </c>
      <c r="C109" s="138">
        <f t="shared" si="25"/>
        <v>0</v>
      </c>
      <c r="D109" s="138">
        <f t="shared" si="25"/>
        <v>0</v>
      </c>
      <c r="E109" s="138">
        <f t="shared" si="25"/>
        <v>31500</v>
      </c>
      <c r="F109" s="138">
        <f t="shared" si="25"/>
        <v>0</v>
      </c>
      <c r="G109" s="138">
        <f t="shared" si="25"/>
        <v>0</v>
      </c>
      <c r="H109" s="138">
        <f t="shared" si="25"/>
        <v>0</v>
      </c>
      <c r="I109" s="138">
        <f t="shared" si="25"/>
        <v>0</v>
      </c>
      <c r="J109" s="138">
        <f t="shared" si="25"/>
        <v>0</v>
      </c>
      <c r="K109" s="138">
        <f t="shared" si="25"/>
        <v>0</v>
      </c>
      <c r="L109" s="138">
        <f t="shared" si="25"/>
        <v>0</v>
      </c>
      <c r="M109" s="138">
        <f t="shared" si="25"/>
        <v>0</v>
      </c>
      <c r="N109" s="138">
        <f t="shared" si="25"/>
        <v>0</v>
      </c>
      <c r="O109" s="138">
        <f t="shared" si="25"/>
        <v>0</v>
      </c>
      <c r="P109" s="138">
        <f t="shared" si="25"/>
        <v>0</v>
      </c>
      <c r="Q109" s="138">
        <f t="shared" si="25"/>
        <v>0</v>
      </c>
      <c r="R109" s="138">
        <f t="shared" si="25"/>
        <v>0</v>
      </c>
      <c r="S109" s="138">
        <f t="shared" si="25"/>
        <v>0</v>
      </c>
      <c r="T109" s="138">
        <f t="shared" si="25"/>
        <v>0</v>
      </c>
      <c r="U109" s="138">
        <f t="shared" si="25"/>
        <v>0</v>
      </c>
      <c r="V109" s="138">
        <f t="shared" si="25"/>
        <v>0</v>
      </c>
      <c r="W109" s="138">
        <f t="shared" si="25"/>
        <v>0</v>
      </c>
      <c r="X109" s="138">
        <f t="shared" si="25"/>
        <v>0</v>
      </c>
      <c r="Y109" s="138">
        <f t="shared" si="25"/>
        <v>0</v>
      </c>
      <c r="Z109" s="140">
        <f t="shared" si="25"/>
        <v>49080.1</v>
      </c>
    </row>
    <row r="110" spans="1:26" ht="20.25" customHeight="1" thickBot="1">
      <c r="A110" s="353" t="s">
        <v>239</v>
      </c>
      <c r="B110" s="137">
        <f t="shared" ref="B110:Z110" si="26">B101+B109</f>
        <v>17580.099999999999</v>
      </c>
      <c r="C110" s="137">
        <f t="shared" si="26"/>
        <v>0</v>
      </c>
      <c r="D110" s="137">
        <f t="shared" si="26"/>
        <v>0</v>
      </c>
      <c r="E110" s="137">
        <f t="shared" si="26"/>
        <v>31500</v>
      </c>
      <c r="F110" s="137">
        <f t="shared" si="26"/>
        <v>0</v>
      </c>
      <c r="G110" s="137">
        <f t="shared" si="26"/>
        <v>0</v>
      </c>
      <c r="H110" s="137">
        <f t="shared" si="26"/>
        <v>0</v>
      </c>
      <c r="I110" s="137">
        <f t="shared" si="26"/>
        <v>0</v>
      </c>
      <c r="J110" s="137">
        <f t="shared" si="26"/>
        <v>0</v>
      </c>
      <c r="K110" s="137">
        <f t="shared" si="26"/>
        <v>0</v>
      </c>
      <c r="L110" s="137">
        <f t="shared" si="26"/>
        <v>0</v>
      </c>
      <c r="M110" s="137">
        <f t="shared" si="26"/>
        <v>0</v>
      </c>
      <c r="N110" s="137">
        <f t="shared" si="26"/>
        <v>0</v>
      </c>
      <c r="O110" s="137">
        <f t="shared" si="26"/>
        <v>0</v>
      </c>
      <c r="P110" s="137">
        <f t="shared" si="26"/>
        <v>0</v>
      </c>
      <c r="Q110" s="137">
        <f t="shared" si="26"/>
        <v>0</v>
      </c>
      <c r="R110" s="137">
        <f t="shared" si="26"/>
        <v>0</v>
      </c>
      <c r="S110" s="137">
        <f t="shared" si="26"/>
        <v>0</v>
      </c>
      <c r="T110" s="137">
        <f t="shared" si="26"/>
        <v>0</v>
      </c>
      <c r="U110" s="137">
        <f t="shared" si="26"/>
        <v>0</v>
      </c>
      <c r="V110" s="137">
        <f t="shared" si="26"/>
        <v>0</v>
      </c>
      <c r="W110" s="137">
        <f t="shared" si="26"/>
        <v>0</v>
      </c>
      <c r="X110" s="137">
        <f t="shared" si="26"/>
        <v>0</v>
      </c>
      <c r="Y110" s="137">
        <f t="shared" si="26"/>
        <v>0</v>
      </c>
      <c r="Z110" s="144">
        <f t="shared" si="26"/>
        <v>49080.1</v>
      </c>
    </row>
    <row r="111" spans="1:26" ht="20.25" customHeight="1" thickBot="1">
      <c r="A111" s="362" t="s">
        <v>56</v>
      </c>
      <c r="B111" s="131"/>
      <c r="C111" s="131"/>
      <c r="D111" s="131"/>
      <c r="E111" s="131"/>
      <c r="F111" s="131">
        <v>0</v>
      </c>
      <c r="G111" s="131"/>
      <c r="H111" s="131"/>
      <c r="I111" s="131"/>
      <c r="J111" s="131"/>
      <c r="K111" s="131"/>
      <c r="L111" s="131"/>
      <c r="M111" s="131">
        <v>0</v>
      </c>
      <c r="N111" s="131"/>
      <c r="O111" s="131"/>
      <c r="P111" s="131"/>
      <c r="Q111" s="131"/>
      <c r="R111" s="131">
        <v>0</v>
      </c>
      <c r="S111" s="131">
        <v>0</v>
      </c>
      <c r="T111" s="131">
        <v>0</v>
      </c>
      <c r="U111" s="131">
        <v>0</v>
      </c>
      <c r="V111" s="131">
        <v>0</v>
      </c>
      <c r="W111" s="131">
        <v>0</v>
      </c>
      <c r="X111" s="147">
        <v>0</v>
      </c>
      <c r="Y111" s="131">
        <v>0</v>
      </c>
      <c r="Z111" s="144">
        <f>SUM(B111:Y111)</f>
        <v>0</v>
      </c>
    </row>
    <row r="112" spans="1:26" ht="20.25" customHeight="1">
      <c r="A112" s="355">
        <v>542000</v>
      </c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43">
        <f t="shared" ref="Z112:Z116" si="27">SUM(B112:Y112)</f>
        <v>0</v>
      </c>
    </row>
    <row r="113" spans="1:26" ht="20.25" customHeight="1">
      <c r="A113" s="348">
        <v>420600</v>
      </c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43">
        <f t="shared" si="27"/>
        <v>0</v>
      </c>
    </row>
    <row r="114" spans="1:26" ht="20.25" customHeight="1">
      <c r="A114" s="342" t="s">
        <v>351</v>
      </c>
      <c r="B114" s="134"/>
      <c r="C114" s="134"/>
      <c r="D114" s="134"/>
      <c r="E114" s="134"/>
      <c r="F114" s="134">
        <v>0</v>
      </c>
      <c r="G114" s="134"/>
      <c r="H114" s="134"/>
      <c r="I114" s="134"/>
      <c r="J114" s="134"/>
      <c r="K114" s="134"/>
      <c r="L114" s="134"/>
      <c r="M114" s="134">
        <v>0</v>
      </c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43">
        <f t="shared" si="27"/>
        <v>0</v>
      </c>
    </row>
    <row r="115" spans="1:26" ht="20.25" customHeight="1" thickBot="1">
      <c r="A115" s="349" t="s">
        <v>119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>
        <v>0</v>
      </c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6"/>
      <c r="Y115" s="131"/>
      <c r="Z115" s="143">
        <f t="shared" si="27"/>
        <v>0</v>
      </c>
    </row>
    <row r="116" spans="1:26" ht="20.25" customHeight="1">
      <c r="A116" s="352" t="s">
        <v>238</v>
      </c>
      <c r="B116" s="138">
        <f t="shared" ref="B116:Y116" si="28">SUM(B113:B115)</f>
        <v>0</v>
      </c>
      <c r="C116" s="138">
        <f t="shared" si="28"/>
        <v>0</v>
      </c>
      <c r="D116" s="138">
        <f t="shared" si="28"/>
        <v>0</v>
      </c>
      <c r="E116" s="138">
        <f t="shared" si="28"/>
        <v>0</v>
      </c>
      <c r="F116" s="138">
        <f t="shared" si="28"/>
        <v>0</v>
      </c>
      <c r="G116" s="138">
        <f t="shared" si="28"/>
        <v>0</v>
      </c>
      <c r="H116" s="138">
        <f t="shared" si="28"/>
        <v>0</v>
      </c>
      <c r="I116" s="138">
        <f t="shared" si="28"/>
        <v>0</v>
      </c>
      <c r="J116" s="138">
        <f t="shared" si="28"/>
        <v>0</v>
      </c>
      <c r="K116" s="138">
        <f t="shared" si="28"/>
        <v>0</v>
      </c>
      <c r="L116" s="138">
        <f t="shared" si="28"/>
        <v>0</v>
      </c>
      <c r="M116" s="138">
        <f t="shared" si="28"/>
        <v>0</v>
      </c>
      <c r="N116" s="138">
        <f t="shared" si="28"/>
        <v>0</v>
      </c>
      <c r="O116" s="138">
        <f t="shared" si="28"/>
        <v>0</v>
      </c>
      <c r="P116" s="138">
        <f t="shared" si="28"/>
        <v>0</v>
      </c>
      <c r="Q116" s="138">
        <f t="shared" si="28"/>
        <v>0</v>
      </c>
      <c r="R116" s="138">
        <f t="shared" si="28"/>
        <v>0</v>
      </c>
      <c r="S116" s="138">
        <f t="shared" si="28"/>
        <v>0</v>
      </c>
      <c r="T116" s="138">
        <f t="shared" si="28"/>
        <v>0</v>
      </c>
      <c r="U116" s="138">
        <f t="shared" si="28"/>
        <v>0</v>
      </c>
      <c r="V116" s="138">
        <f t="shared" si="28"/>
        <v>0</v>
      </c>
      <c r="W116" s="138">
        <f t="shared" si="28"/>
        <v>0</v>
      </c>
      <c r="X116" s="138">
        <f t="shared" si="28"/>
        <v>0</v>
      </c>
      <c r="Y116" s="138">
        <f t="shared" si="28"/>
        <v>0</v>
      </c>
      <c r="Z116" s="156">
        <f t="shared" si="27"/>
        <v>0</v>
      </c>
    </row>
    <row r="117" spans="1:26" ht="20.25" customHeight="1" thickBot="1">
      <c r="A117" s="353" t="s">
        <v>239</v>
      </c>
      <c r="B117" s="137">
        <f t="shared" ref="B117:Z117" si="29">B111+B116</f>
        <v>0</v>
      </c>
      <c r="C117" s="137">
        <f t="shared" si="29"/>
        <v>0</v>
      </c>
      <c r="D117" s="137">
        <f t="shared" si="29"/>
        <v>0</v>
      </c>
      <c r="E117" s="137">
        <f t="shared" si="29"/>
        <v>0</v>
      </c>
      <c r="F117" s="137">
        <f t="shared" si="29"/>
        <v>0</v>
      </c>
      <c r="G117" s="137">
        <f t="shared" si="29"/>
        <v>0</v>
      </c>
      <c r="H117" s="137">
        <f t="shared" si="29"/>
        <v>0</v>
      </c>
      <c r="I117" s="137">
        <f t="shared" si="29"/>
        <v>0</v>
      </c>
      <c r="J117" s="137">
        <f t="shared" si="29"/>
        <v>0</v>
      </c>
      <c r="K117" s="137">
        <f t="shared" si="29"/>
        <v>0</v>
      </c>
      <c r="L117" s="137">
        <f t="shared" si="29"/>
        <v>0</v>
      </c>
      <c r="M117" s="137">
        <f t="shared" si="29"/>
        <v>0</v>
      </c>
      <c r="N117" s="137">
        <f t="shared" si="29"/>
        <v>0</v>
      </c>
      <c r="O117" s="137">
        <f t="shared" si="29"/>
        <v>0</v>
      </c>
      <c r="P117" s="137">
        <f t="shared" si="29"/>
        <v>0</v>
      </c>
      <c r="Q117" s="137">
        <f t="shared" si="29"/>
        <v>0</v>
      </c>
      <c r="R117" s="137">
        <f t="shared" si="29"/>
        <v>0</v>
      </c>
      <c r="S117" s="137">
        <f t="shared" si="29"/>
        <v>0</v>
      </c>
      <c r="T117" s="137">
        <f t="shared" si="29"/>
        <v>0</v>
      </c>
      <c r="U117" s="137">
        <f t="shared" si="29"/>
        <v>0</v>
      </c>
      <c r="V117" s="137">
        <f t="shared" si="29"/>
        <v>0</v>
      </c>
      <c r="W117" s="137">
        <f t="shared" si="29"/>
        <v>0</v>
      </c>
      <c r="X117" s="137">
        <f t="shared" si="29"/>
        <v>0</v>
      </c>
      <c r="Y117" s="137">
        <f t="shared" si="29"/>
        <v>0</v>
      </c>
      <c r="Z117" s="144">
        <f t="shared" si="29"/>
        <v>0</v>
      </c>
    </row>
    <row r="124" spans="1:26" ht="20.25" customHeight="1">
      <c r="A124" s="512" t="s">
        <v>198</v>
      </c>
      <c r="B124" s="512"/>
      <c r="C124" s="512"/>
      <c r="D124" s="512"/>
      <c r="E124" s="512"/>
      <c r="F124" s="512"/>
      <c r="G124" s="512"/>
      <c r="H124" s="512"/>
      <c r="I124" s="512"/>
      <c r="J124" s="512"/>
      <c r="K124" s="512"/>
      <c r="L124" s="512"/>
      <c r="M124" s="512"/>
      <c r="N124" s="512"/>
      <c r="O124" s="512"/>
      <c r="P124" s="512"/>
      <c r="Q124" s="512"/>
      <c r="R124" s="512"/>
      <c r="S124" s="512"/>
      <c r="T124" s="512"/>
      <c r="U124" s="512"/>
      <c r="V124" s="512"/>
      <c r="W124" s="512"/>
      <c r="X124" s="512"/>
      <c r="Y124" s="512"/>
      <c r="Z124" s="512"/>
    </row>
    <row r="125" spans="1:26" ht="20.25" customHeight="1">
      <c r="A125" s="512" t="s">
        <v>199</v>
      </c>
      <c r="B125" s="512"/>
      <c r="C125" s="512"/>
      <c r="D125" s="512"/>
      <c r="E125" s="512"/>
      <c r="F125" s="512"/>
      <c r="G125" s="512"/>
      <c r="H125" s="512"/>
      <c r="I125" s="512"/>
      <c r="J125" s="512"/>
      <c r="K125" s="512"/>
      <c r="L125" s="512"/>
      <c r="M125" s="512"/>
      <c r="N125" s="512"/>
      <c r="O125" s="512"/>
      <c r="P125" s="512"/>
      <c r="Q125" s="512"/>
      <c r="R125" s="512"/>
      <c r="S125" s="512"/>
      <c r="T125" s="512"/>
      <c r="U125" s="512"/>
      <c r="V125" s="512"/>
      <c r="W125" s="512"/>
      <c r="X125" s="512"/>
      <c r="Y125" s="512"/>
      <c r="Z125" s="512"/>
    </row>
    <row r="126" spans="1:26" ht="20.25" customHeight="1" thickBot="1">
      <c r="A126" s="513" t="str">
        <f>A3</f>
        <v>วันที่  30  พฤศจิกายน  2556</v>
      </c>
      <c r="B126" s="513"/>
      <c r="C126" s="513"/>
      <c r="D126" s="513"/>
      <c r="E126" s="513"/>
      <c r="F126" s="513"/>
      <c r="G126" s="513"/>
      <c r="H126" s="513"/>
      <c r="I126" s="513"/>
      <c r="J126" s="513"/>
      <c r="K126" s="513"/>
      <c r="L126" s="513"/>
      <c r="M126" s="513"/>
      <c r="N126" s="513"/>
      <c r="O126" s="513"/>
      <c r="P126" s="513"/>
      <c r="Q126" s="513"/>
      <c r="R126" s="513"/>
      <c r="S126" s="513"/>
      <c r="T126" s="513"/>
      <c r="U126" s="513"/>
      <c r="V126" s="513"/>
      <c r="W126" s="513"/>
      <c r="X126" s="513"/>
      <c r="Y126" s="513"/>
      <c r="Z126" s="513"/>
    </row>
    <row r="127" spans="1:26" ht="20.25" customHeight="1">
      <c r="A127" s="352" t="s">
        <v>200</v>
      </c>
      <c r="B127" s="514" t="s">
        <v>201</v>
      </c>
      <c r="C127" s="514"/>
      <c r="D127" s="514" t="s">
        <v>202</v>
      </c>
      <c r="E127" s="514"/>
      <c r="F127" s="514" t="s">
        <v>203</v>
      </c>
      <c r="G127" s="514"/>
      <c r="H127" s="514"/>
      <c r="I127" s="514" t="s">
        <v>204</v>
      </c>
      <c r="J127" s="514"/>
      <c r="K127" s="514" t="s">
        <v>205</v>
      </c>
      <c r="L127" s="514"/>
      <c r="M127" s="515" t="s">
        <v>206</v>
      </c>
      <c r="N127" s="516"/>
      <c r="O127" s="517"/>
      <c r="P127" s="514" t="s">
        <v>207</v>
      </c>
      <c r="Q127" s="514"/>
      <c r="R127" s="514" t="s">
        <v>208</v>
      </c>
      <c r="S127" s="514"/>
      <c r="T127" s="514"/>
      <c r="U127" s="127" t="s">
        <v>209</v>
      </c>
      <c r="V127" s="514" t="s">
        <v>210</v>
      </c>
      <c r="W127" s="514"/>
      <c r="X127" s="127" t="s">
        <v>211</v>
      </c>
      <c r="Y127" s="127" t="s">
        <v>212</v>
      </c>
      <c r="Z127" s="518" t="s">
        <v>55</v>
      </c>
    </row>
    <row r="128" spans="1:26" ht="20.25" customHeight="1" thickBot="1">
      <c r="A128" s="353" t="s">
        <v>213</v>
      </c>
      <c r="B128" s="129" t="s">
        <v>214</v>
      </c>
      <c r="C128" s="129" t="s">
        <v>215</v>
      </c>
      <c r="D128" s="129" t="s">
        <v>216</v>
      </c>
      <c r="E128" s="129" t="s">
        <v>217</v>
      </c>
      <c r="F128" s="129" t="s">
        <v>218</v>
      </c>
      <c r="G128" s="129" t="s">
        <v>219</v>
      </c>
      <c r="H128" s="129" t="s">
        <v>220</v>
      </c>
      <c r="I128" s="129" t="s">
        <v>221</v>
      </c>
      <c r="J128" s="129" t="s">
        <v>222</v>
      </c>
      <c r="K128" s="129" t="s">
        <v>223</v>
      </c>
      <c r="L128" s="129" t="s">
        <v>224</v>
      </c>
      <c r="M128" s="130" t="s">
        <v>225</v>
      </c>
      <c r="N128" s="129" t="s">
        <v>226</v>
      </c>
      <c r="O128" s="129" t="s">
        <v>227</v>
      </c>
      <c r="P128" s="129" t="s">
        <v>228</v>
      </c>
      <c r="Q128" s="129" t="s">
        <v>229</v>
      </c>
      <c r="R128" s="129" t="s">
        <v>230</v>
      </c>
      <c r="S128" s="129" t="s">
        <v>231</v>
      </c>
      <c r="T128" s="129" t="s">
        <v>232</v>
      </c>
      <c r="U128" s="129" t="s">
        <v>233</v>
      </c>
      <c r="V128" s="129" t="s">
        <v>234</v>
      </c>
      <c r="W128" s="129" t="s">
        <v>235</v>
      </c>
      <c r="X128" s="129" t="s">
        <v>236</v>
      </c>
      <c r="Y128" s="129" t="s">
        <v>237</v>
      </c>
      <c r="Z128" s="519"/>
    </row>
    <row r="129" spans="1:26" ht="20.25" customHeight="1">
      <c r="A129" s="358" t="s">
        <v>240</v>
      </c>
      <c r="B129" s="138"/>
      <c r="C129" s="138">
        <v>0</v>
      </c>
      <c r="D129" s="138">
        <v>0</v>
      </c>
      <c r="E129" s="138">
        <v>0</v>
      </c>
      <c r="F129" s="138">
        <v>0</v>
      </c>
      <c r="G129" s="138"/>
      <c r="H129" s="138">
        <v>0</v>
      </c>
      <c r="I129" s="138">
        <v>0</v>
      </c>
      <c r="J129" s="138">
        <v>0</v>
      </c>
      <c r="K129" s="138">
        <v>0</v>
      </c>
      <c r="L129" s="138">
        <v>0</v>
      </c>
      <c r="M129" s="138">
        <v>0</v>
      </c>
      <c r="N129" s="138">
        <v>0</v>
      </c>
      <c r="O129" s="138">
        <v>0</v>
      </c>
      <c r="P129" s="138">
        <v>0</v>
      </c>
      <c r="Q129" s="138">
        <v>0</v>
      </c>
      <c r="R129" s="138">
        <v>0</v>
      </c>
      <c r="S129" s="138">
        <v>0</v>
      </c>
      <c r="T129" s="138">
        <v>0</v>
      </c>
      <c r="U129" s="138">
        <v>0</v>
      </c>
      <c r="V129" s="138">
        <v>0</v>
      </c>
      <c r="W129" s="138">
        <v>0</v>
      </c>
      <c r="X129" s="138">
        <v>0</v>
      </c>
      <c r="Y129" s="138">
        <v>0</v>
      </c>
      <c r="Z129" s="133">
        <f>SUM(B129:Y129)</f>
        <v>0</v>
      </c>
    </row>
    <row r="130" spans="1:26" ht="20.25" customHeight="1">
      <c r="A130" s="359">
        <v>551000</v>
      </c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43">
        <f>SUM(B130:Y130)</f>
        <v>0</v>
      </c>
    </row>
    <row r="131" spans="1:26" ht="20.25" customHeight="1">
      <c r="A131" s="348">
        <v>510100</v>
      </c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43">
        <f>SUM(B131:Y131)</f>
        <v>0</v>
      </c>
    </row>
    <row r="132" spans="1:26" ht="20.25" customHeight="1">
      <c r="A132" s="348">
        <v>510200</v>
      </c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43">
        <f>SUM(B132:Y132)</f>
        <v>0</v>
      </c>
    </row>
    <row r="133" spans="1:26" ht="20.25" customHeight="1">
      <c r="A133" s="360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53"/>
    </row>
    <row r="134" spans="1:26" ht="20.25" customHeight="1" thickBot="1">
      <c r="A134" s="353"/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44">
        <f>SUM(B134:Y134)</f>
        <v>0</v>
      </c>
    </row>
    <row r="135" spans="1:26" ht="20.25" customHeight="1">
      <c r="A135" s="352" t="s">
        <v>238</v>
      </c>
      <c r="B135" s="160">
        <f>SUM(B130:B134)</f>
        <v>0</v>
      </c>
      <c r="C135" s="160">
        <f t="shared" ref="C135:I135" si="30">SUM(C134)</f>
        <v>0</v>
      </c>
      <c r="D135" s="160">
        <f t="shared" si="30"/>
        <v>0</v>
      </c>
      <c r="E135" s="160">
        <f t="shared" si="30"/>
        <v>0</v>
      </c>
      <c r="F135" s="160">
        <f t="shared" si="30"/>
        <v>0</v>
      </c>
      <c r="G135" s="160">
        <f t="shared" si="30"/>
        <v>0</v>
      </c>
      <c r="H135" s="160">
        <f t="shared" si="30"/>
        <v>0</v>
      </c>
      <c r="I135" s="160">
        <f t="shared" si="30"/>
        <v>0</v>
      </c>
      <c r="J135" s="160">
        <f>SUM(J131:J134)</f>
        <v>0</v>
      </c>
      <c r="K135" s="160">
        <f>SUM(K134)</f>
        <v>0</v>
      </c>
      <c r="L135" s="160">
        <f>SUM(L134)</f>
        <v>0</v>
      </c>
      <c r="M135" s="160">
        <f>SUM(M134)</f>
        <v>0</v>
      </c>
      <c r="N135" s="160">
        <f>SUM(N130:N134)</f>
        <v>0</v>
      </c>
      <c r="O135" s="160">
        <f t="shared" ref="O135:Y135" si="31">SUM(O134)</f>
        <v>0</v>
      </c>
      <c r="P135" s="160">
        <f t="shared" si="31"/>
        <v>0</v>
      </c>
      <c r="Q135" s="160">
        <f t="shared" si="31"/>
        <v>0</v>
      </c>
      <c r="R135" s="160">
        <f t="shared" si="31"/>
        <v>0</v>
      </c>
      <c r="S135" s="160">
        <f t="shared" si="31"/>
        <v>0</v>
      </c>
      <c r="T135" s="160">
        <f t="shared" si="31"/>
        <v>0</v>
      </c>
      <c r="U135" s="160">
        <f t="shared" si="31"/>
        <v>0</v>
      </c>
      <c r="V135" s="160">
        <f t="shared" si="31"/>
        <v>0</v>
      </c>
      <c r="W135" s="160">
        <f t="shared" si="31"/>
        <v>0</v>
      </c>
      <c r="X135" s="160">
        <f t="shared" si="31"/>
        <v>0</v>
      </c>
      <c r="Y135" s="160">
        <f t="shared" si="31"/>
        <v>0</v>
      </c>
      <c r="Z135" s="140">
        <f>SUM(B135:Y135)</f>
        <v>0</v>
      </c>
    </row>
    <row r="136" spans="1:26" ht="20.25" customHeight="1" thickBot="1">
      <c r="A136" s="353" t="s">
        <v>239</v>
      </c>
      <c r="B136" s="161">
        <f t="shared" ref="B136:Z136" si="32">B129+B135</f>
        <v>0</v>
      </c>
      <c r="C136" s="161">
        <f t="shared" si="32"/>
        <v>0</v>
      </c>
      <c r="D136" s="161">
        <f t="shared" si="32"/>
        <v>0</v>
      </c>
      <c r="E136" s="161">
        <f t="shared" si="32"/>
        <v>0</v>
      </c>
      <c r="F136" s="161">
        <f t="shared" si="32"/>
        <v>0</v>
      </c>
      <c r="G136" s="161">
        <f t="shared" si="32"/>
        <v>0</v>
      </c>
      <c r="H136" s="161">
        <f t="shared" si="32"/>
        <v>0</v>
      </c>
      <c r="I136" s="161">
        <f t="shared" si="32"/>
        <v>0</v>
      </c>
      <c r="J136" s="161">
        <f t="shared" si="32"/>
        <v>0</v>
      </c>
      <c r="K136" s="161">
        <f t="shared" si="32"/>
        <v>0</v>
      </c>
      <c r="L136" s="161">
        <f t="shared" si="32"/>
        <v>0</v>
      </c>
      <c r="M136" s="161">
        <f t="shared" si="32"/>
        <v>0</v>
      </c>
      <c r="N136" s="161">
        <f t="shared" si="32"/>
        <v>0</v>
      </c>
      <c r="O136" s="161">
        <f t="shared" si="32"/>
        <v>0</v>
      </c>
      <c r="P136" s="161">
        <f t="shared" si="32"/>
        <v>0</v>
      </c>
      <c r="Q136" s="161">
        <f t="shared" si="32"/>
        <v>0</v>
      </c>
      <c r="R136" s="161">
        <f t="shared" si="32"/>
        <v>0</v>
      </c>
      <c r="S136" s="161">
        <f t="shared" si="32"/>
        <v>0</v>
      </c>
      <c r="T136" s="161">
        <f t="shared" si="32"/>
        <v>0</v>
      </c>
      <c r="U136" s="161">
        <f t="shared" si="32"/>
        <v>0</v>
      </c>
      <c r="V136" s="161">
        <f t="shared" si="32"/>
        <v>0</v>
      </c>
      <c r="W136" s="161">
        <f t="shared" si="32"/>
        <v>0</v>
      </c>
      <c r="X136" s="161">
        <f t="shared" si="32"/>
        <v>0</v>
      </c>
      <c r="Y136" s="161">
        <f t="shared" si="32"/>
        <v>0</v>
      </c>
      <c r="Z136" s="144">
        <f t="shared" si="32"/>
        <v>0</v>
      </c>
    </row>
    <row r="137" spans="1:26" ht="20.25" customHeight="1">
      <c r="A137" s="358" t="s">
        <v>240</v>
      </c>
      <c r="B137" s="138"/>
      <c r="C137" s="138">
        <v>0</v>
      </c>
      <c r="D137" s="138">
        <v>0</v>
      </c>
      <c r="E137" s="138">
        <v>0</v>
      </c>
      <c r="F137" s="138">
        <v>0</v>
      </c>
      <c r="G137" s="138">
        <v>0</v>
      </c>
      <c r="H137" s="138"/>
      <c r="I137" s="138">
        <v>0</v>
      </c>
      <c r="J137" s="138"/>
      <c r="K137" s="138">
        <v>0</v>
      </c>
      <c r="L137" s="138">
        <v>0</v>
      </c>
      <c r="M137" s="138">
        <v>0</v>
      </c>
      <c r="N137" s="138">
        <v>0</v>
      </c>
      <c r="O137" s="138">
        <v>0</v>
      </c>
      <c r="P137" s="138">
        <v>0</v>
      </c>
      <c r="Q137" s="138">
        <v>0</v>
      </c>
      <c r="R137" s="138">
        <v>0</v>
      </c>
      <c r="S137" s="138">
        <v>0</v>
      </c>
      <c r="T137" s="138">
        <v>0</v>
      </c>
      <c r="U137" s="138">
        <v>0</v>
      </c>
      <c r="V137" s="138">
        <v>0</v>
      </c>
      <c r="W137" s="138">
        <v>0</v>
      </c>
      <c r="X137" s="138">
        <v>0</v>
      </c>
      <c r="Y137" s="138">
        <v>0</v>
      </c>
      <c r="Z137" s="162">
        <f>SUM(B137:Y137)</f>
        <v>0</v>
      </c>
    </row>
    <row r="138" spans="1:26" ht="20.25" customHeight="1">
      <c r="A138" s="359">
        <v>560000</v>
      </c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63"/>
      <c r="Z138" s="143">
        <f>SUM(B138:Y138)</f>
        <v>0</v>
      </c>
    </row>
    <row r="139" spans="1:26" ht="20.25" customHeight="1">
      <c r="A139" s="361">
        <v>610100</v>
      </c>
      <c r="B139" s="136">
        <v>0</v>
      </c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3">
        <f>SUM(B139:Y139)</f>
        <v>0</v>
      </c>
    </row>
    <row r="140" spans="1:26" ht="20.25" customHeight="1">
      <c r="A140" s="164">
        <v>610200</v>
      </c>
      <c r="B140" s="136"/>
      <c r="C140" s="136"/>
      <c r="D140" s="136"/>
      <c r="E140" s="136"/>
      <c r="F140" s="136"/>
      <c r="G140" s="136">
        <v>0</v>
      </c>
      <c r="H140" s="136">
        <v>0</v>
      </c>
      <c r="I140" s="136">
        <v>0</v>
      </c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3">
        <f>SUM(B140:Y140)</f>
        <v>0</v>
      </c>
    </row>
    <row r="141" spans="1:26" ht="20.25" customHeight="1" thickBot="1">
      <c r="A141" s="164">
        <v>610400</v>
      </c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3">
        <f>SUM(B141:Y141)</f>
        <v>0</v>
      </c>
    </row>
    <row r="142" spans="1:26" ht="20.25" customHeight="1">
      <c r="A142" s="126" t="s">
        <v>238</v>
      </c>
      <c r="B142" s="138">
        <f t="shared" ref="B142:Z142" si="33">SUM(B138:B141)</f>
        <v>0</v>
      </c>
      <c r="C142" s="138">
        <f t="shared" si="33"/>
        <v>0</v>
      </c>
      <c r="D142" s="138">
        <f t="shared" si="33"/>
        <v>0</v>
      </c>
      <c r="E142" s="138">
        <f t="shared" si="33"/>
        <v>0</v>
      </c>
      <c r="F142" s="138">
        <f t="shared" si="33"/>
        <v>0</v>
      </c>
      <c r="G142" s="138">
        <f t="shared" si="33"/>
        <v>0</v>
      </c>
      <c r="H142" s="138">
        <f t="shared" si="33"/>
        <v>0</v>
      </c>
      <c r="I142" s="138">
        <f t="shared" si="33"/>
        <v>0</v>
      </c>
      <c r="J142" s="138">
        <f t="shared" si="33"/>
        <v>0</v>
      </c>
      <c r="K142" s="138">
        <f t="shared" si="33"/>
        <v>0</v>
      </c>
      <c r="L142" s="138">
        <f t="shared" si="33"/>
        <v>0</v>
      </c>
      <c r="M142" s="138">
        <f t="shared" si="33"/>
        <v>0</v>
      </c>
      <c r="N142" s="138">
        <f t="shared" si="33"/>
        <v>0</v>
      </c>
      <c r="O142" s="138">
        <f t="shared" si="33"/>
        <v>0</v>
      </c>
      <c r="P142" s="138">
        <f t="shared" si="33"/>
        <v>0</v>
      </c>
      <c r="Q142" s="138">
        <f t="shared" si="33"/>
        <v>0</v>
      </c>
      <c r="R142" s="138">
        <f t="shared" si="33"/>
        <v>0</v>
      </c>
      <c r="S142" s="138">
        <f t="shared" si="33"/>
        <v>0</v>
      </c>
      <c r="T142" s="138">
        <f t="shared" si="33"/>
        <v>0</v>
      </c>
      <c r="U142" s="138">
        <f t="shared" si="33"/>
        <v>0</v>
      </c>
      <c r="V142" s="138">
        <f t="shared" si="33"/>
        <v>0</v>
      </c>
      <c r="W142" s="138">
        <f t="shared" si="33"/>
        <v>0</v>
      </c>
      <c r="X142" s="138">
        <f t="shared" si="33"/>
        <v>0</v>
      </c>
      <c r="Y142" s="138">
        <f t="shared" si="33"/>
        <v>0</v>
      </c>
      <c r="Z142" s="140">
        <f t="shared" si="33"/>
        <v>0</v>
      </c>
    </row>
    <row r="143" spans="1:26" ht="20.25" customHeight="1" thickBot="1">
      <c r="A143" s="128" t="s">
        <v>239</v>
      </c>
      <c r="B143" s="137">
        <f t="shared" ref="B143:Y143" si="34">B137+B142</f>
        <v>0</v>
      </c>
      <c r="C143" s="137">
        <f t="shared" si="34"/>
        <v>0</v>
      </c>
      <c r="D143" s="137">
        <f t="shared" si="34"/>
        <v>0</v>
      </c>
      <c r="E143" s="137">
        <f t="shared" si="34"/>
        <v>0</v>
      </c>
      <c r="F143" s="137">
        <f t="shared" si="34"/>
        <v>0</v>
      </c>
      <c r="G143" s="137">
        <f t="shared" si="34"/>
        <v>0</v>
      </c>
      <c r="H143" s="137">
        <f t="shared" si="34"/>
        <v>0</v>
      </c>
      <c r="I143" s="137">
        <f t="shared" si="34"/>
        <v>0</v>
      </c>
      <c r="J143" s="137">
        <f t="shared" si="34"/>
        <v>0</v>
      </c>
      <c r="K143" s="137">
        <f t="shared" si="34"/>
        <v>0</v>
      </c>
      <c r="L143" s="137">
        <f t="shared" si="34"/>
        <v>0</v>
      </c>
      <c r="M143" s="137">
        <f t="shared" si="34"/>
        <v>0</v>
      </c>
      <c r="N143" s="137">
        <f t="shared" si="34"/>
        <v>0</v>
      </c>
      <c r="O143" s="137">
        <f t="shared" si="34"/>
        <v>0</v>
      </c>
      <c r="P143" s="137">
        <f t="shared" si="34"/>
        <v>0</v>
      </c>
      <c r="Q143" s="137">
        <f t="shared" si="34"/>
        <v>0</v>
      </c>
      <c r="R143" s="137">
        <f t="shared" si="34"/>
        <v>0</v>
      </c>
      <c r="S143" s="137">
        <f t="shared" si="34"/>
        <v>0</v>
      </c>
      <c r="T143" s="137">
        <f t="shared" si="34"/>
        <v>0</v>
      </c>
      <c r="U143" s="137">
        <f t="shared" si="34"/>
        <v>0</v>
      </c>
      <c r="V143" s="137">
        <f t="shared" si="34"/>
        <v>0</v>
      </c>
      <c r="W143" s="137">
        <f t="shared" si="34"/>
        <v>0</v>
      </c>
      <c r="X143" s="137">
        <f t="shared" si="34"/>
        <v>0</v>
      </c>
      <c r="Y143" s="137">
        <f t="shared" si="34"/>
        <v>0</v>
      </c>
      <c r="Z143" s="144">
        <f>+Z137+Z142</f>
        <v>0</v>
      </c>
    </row>
    <row r="144" spans="1:26" ht="20.25" customHeight="1">
      <c r="A144" s="126" t="s">
        <v>238</v>
      </c>
      <c r="B144" s="160">
        <f t="shared" ref="B144:Z144" si="35">B17+B26+B37+B57+B65+B81+B99+B109+B116+B135+B142</f>
        <v>543108.93999999994</v>
      </c>
      <c r="C144" s="160">
        <f t="shared" si="35"/>
        <v>116025</v>
      </c>
      <c r="D144" s="160">
        <f t="shared" si="35"/>
        <v>1500</v>
      </c>
      <c r="E144" s="160">
        <f t="shared" si="35"/>
        <v>31632.68</v>
      </c>
      <c r="F144" s="160">
        <f t="shared" si="35"/>
        <v>23528.57</v>
      </c>
      <c r="G144" s="160">
        <f t="shared" si="35"/>
        <v>0</v>
      </c>
      <c r="H144" s="160">
        <f t="shared" si="35"/>
        <v>0</v>
      </c>
      <c r="I144" s="160">
        <f t="shared" si="35"/>
        <v>0</v>
      </c>
      <c r="J144" s="160">
        <f t="shared" si="35"/>
        <v>0</v>
      </c>
      <c r="K144" s="160">
        <f t="shared" si="35"/>
        <v>0</v>
      </c>
      <c r="L144" s="160">
        <f t="shared" si="35"/>
        <v>0</v>
      </c>
      <c r="M144" s="160">
        <f t="shared" si="35"/>
        <v>63415</v>
      </c>
      <c r="N144" s="160">
        <f t="shared" si="35"/>
        <v>0</v>
      </c>
      <c r="O144" s="160">
        <f t="shared" si="35"/>
        <v>0</v>
      </c>
      <c r="P144" s="160">
        <f t="shared" si="35"/>
        <v>0</v>
      </c>
      <c r="Q144" s="160">
        <f t="shared" si="35"/>
        <v>0</v>
      </c>
      <c r="R144" s="160">
        <f t="shared" si="35"/>
        <v>0</v>
      </c>
      <c r="S144" s="160">
        <f t="shared" si="35"/>
        <v>0</v>
      </c>
      <c r="T144" s="160">
        <f t="shared" si="35"/>
        <v>16220</v>
      </c>
      <c r="U144" s="160">
        <f t="shared" si="35"/>
        <v>0</v>
      </c>
      <c r="V144" s="160">
        <f t="shared" si="35"/>
        <v>0</v>
      </c>
      <c r="W144" s="160">
        <f t="shared" si="35"/>
        <v>0</v>
      </c>
      <c r="X144" s="160">
        <f t="shared" si="35"/>
        <v>51212.86</v>
      </c>
      <c r="Y144" s="160">
        <f t="shared" si="35"/>
        <v>79864</v>
      </c>
      <c r="Z144" s="140">
        <f t="shared" si="35"/>
        <v>926507.04999999993</v>
      </c>
    </row>
    <row r="145" spans="1:208" ht="20.25" customHeight="1" thickBot="1">
      <c r="A145" s="128" t="s">
        <v>239</v>
      </c>
      <c r="B145" s="165">
        <f t="shared" ref="B145:Z145" si="36">B18+B27+B38+B58+B66+B82+B100+B110+B117+B136+B143</f>
        <v>930507.61</v>
      </c>
      <c r="C145" s="165">
        <f t="shared" si="36"/>
        <v>213180</v>
      </c>
      <c r="D145" s="165">
        <f t="shared" si="36"/>
        <v>1500</v>
      </c>
      <c r="E145" s="165">
        <f t="shared" si="36"/>
        <v>31742.89</v>
      </c>
      <c r="F145" s="165">
        <f t="shared" si="36"/>
        <v>43194.57</v>
      </c>
      <c r="G145" s="165">
        <f t="shared" si="36"/>
        <v>0</v>
      </c>
      <c r="H145" s="165">
        <f t="shared" si="36"/>
        <v>0</v>
      </c>
      <c r="I145" s="165">
        <f t="shared" si="36"/>
        <v>0</v>
      </c>
      <c r="J145" s="165">
        <f t="shared" si="36"/>
        <v>0</v>
      </c>
      <c r="K145" s="165">
        <f t="shared" si="36"/>
        <v>0</v>
      </c>
      <c r="L145" s="165">
        <f t="shared" si="36"/>
        <v>0</v>
      </c>
      <c r="M145" s="165">
        <f t="shared" si="36"/>
        <v>126830</v>
      </c>
      <c r="N145" s="165">
        <f t="shared" si="36"/>
        <v>0</v>
      </c>
      <c r="O145" s="165">
        <f t="shared" si="36"/>
        <v>0</v>
      </c>
      <c r="P145" s="165">
        <f t="shared" si="36"/>
        <v>0</v>
      </c>
      <c r="Q145" s="165">
        <f t="shared" si="36"/>
        <v>0</v>
      </c>
      <c r="R145" s="165">
        <f t="shared" si="36"/>
        <v>0</v>
      </c>
      <c r="S145" s="165">
        <f t="shared" si="36"/>
        <v>0</v>
      </c>
      <c r="T145" s="165">
        <f t="shared" si="36"/>
        <v>26220</v>
      </c>
      <c r="U145" s="165">
        <f t="shared" si="36"/>
        <v>0</v>
      </c>
      <c r="V145" s="165">
        <f t="shared" si="36"/>
        <v>0</v>
      </c>
      <c r="W145" s="165">
        <f t="shared" si="36"/>
        <v>0</v>
      </c>
      <c r="X145" s="165">
        <f t="shared" si="36"/>
        <v>102891.29000000001</v>
      </c>
      <c r="Y145" s="165">
        <f t="shared" si="36"/>
        <v>79864</v>
      </c>
      <c r="Z145" s="166">
        <f t="shared" si="36"/>
        <v>1555930.36</v>
      </c>
    </row>
    <row r="146" spans="1:208" ht="20.25" customHeight="1">
      <c r="H146" s="141"/>
    </row>
    <row r="149" spans="1:208" s="157" customFormat="1" ht="20.25" customHeight="1"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5"/>
      <c r="AT149" s="125"/>
      <c r="AU149" s="125"/>
      <c r="AV149" s="125"/>
      <c r="AW149" s="125"/>
      <c r="AX149" s="125"/>
      <c r="AY149" s="125"/>
      <c r="AZ149" s="125"/>
      <c r="BA149" s="125"/>
      <c r="BB149" s="125"/>
      <c r="BC149" s="125"/>
      <c r="BD149" s="125"/>
      <c r="BE149" s="125"/>
      <c r="BF149" s="125"/>
      <c r="BG149" s="125"/>
      <c r="BH149" s="125"/>
      <c r="BI149" s="125"/>
      <c r="BJ149" s="125"/>
      <c r="BK149" s="125"/>
      <c r="BL149" s="125"/>
      <c r="BM149" s="125"/>
      <c r="BN149" s="125"/>
      <c r="BO149" s="125"/>
      <c r="BP149" s="125"/>
      <c r="BQ149" s="125"/>
      <c r="BR149" s="125"/>
      <c r="BS149" s="125"/>
      <c r="BT149" s="125"/>
      <c r="BU149" s="125"/>
      <c r="BV149" s="125"/>
      <c r="BW149" s="125"/>
      <c r="BX149" s="125"/>
      <c r="BY149" s="125"/>
      <c r="BZ149" s="125"/>
      <c r="CA149" s="125"/>
      <c r="CB149" s="125"/>
      <c r="CC149" s="125"/>
      <c r="CD149" s="125"/>
      <c r="CE149" s="125"/>
      <c r="CF149" s="125"/>
      <c r="CG149" s="125"/>
      <c r="CH149" s="125"/>
      <c r="CI149" s="125"/>
      <c r="CJ149" s="125"/>
      <c r="CK149" s="125"/>
      <c r="CL149" s="125"/>
      <c r="CM149" s="125"/>
      <c r="CN149" s="125"/>
      <c r="CO149" s="125"/>
      <c r="CP149" s="125"/>
      <c r="CQ149" s="125"/>
      <c r="CR149" s="125"/>
      <c r="CS149" s="125"/>
      <c r="CT149" s="125"/>
      <c r="CU149" s="125"/>
      <c r="CV149" s="125"/>
      <c r="CW149" s="125"/>
      <c r="CX149" s="125"/>
      <c r="CY149" s="125"/>
      <c r="CZ149" s="125"/>
      <c r="DA149" s="125"/>
      <c r="DB149" s="125"/>
      <c r="DC149" s="125"/>
      <c r="DD149" s="125"/>
      <c r="DE149" s="125"/>
      <c r="DF149" s="125"/>
      <c r="DG149" s="125"/>
      <c r="DH149" s="125"/>
      <c r="DI149" s="125"/>
      <c r="DJ149" s="125"/>
      <c r="DK149" s="125"/>
      <c r="DL149" s="125"/>
      <c r="DM149" s="125"/>
      <c r="DN149" s="125"/>
      <c r="DO149" s="125"/>
      <c r="DP149" s="125"/>
      <c r="DQ149" s="125"/>
      <c r="DR149" s="125"/>
      <c r="DS149" s="125"/>
      <c r="DT149" s="125"/>
      <c r="DU149" s="125"/>
      <c r="DV149" s="125"/>
      <c r="DW149" s="125"/>
      <c r="DX149" s="125"/>
      <c r="DY149" s="125"/>
      <c r="DZ149" s="125"/>
      <c r="EA149" s="125"/>
      <c r="EB149" s="125"/>
      <c r="EC149" s="125"/>
      <c r="ED149" s="125"/>
      <c r="EE149" s="125"/>
      <c r="EF149" s="125"/>
      <c r="EG149" s="125"/>
      <c r="EH149" s="125"/>
      <c r="EI149" s="125"/>
      <c r="EJ149" s="125"/>
      <c r="EK149" s="125"/>
      <c r="EL149" s="125"/>
      <c r="EM149" s="125"/>
      <c r="EN149" s="125"/>
      <c r="EO149" s="125"/>
      <c r="EP149" s="125"/>
      <c r="EQ149" s="125"/>
      <c r="ER149" s="125"/>
      <c r="ES149" s="125"/>
      <c r="ET149" s="125"/>
      <c r="EU149" s="125"/>
      <c r="EV149" s="125"/>
      <c r="EW149" s="125"/>
      <c r="EX149" s="125"/>
      <c r="EY149" s="125"/>
      <c r="EZ149" s="125"/>
      <c r="FA149" s="125"/>
      <c r="FB149" s="125"/>
      <c r="FC149" s="125"/>
      <c r="FD149" s="125"/>
      <c r="FE149" s="125"/>
      <c r="FF149" s="125"/>
      <c r="FG149" s="125"/>
      <c r="FH149" s="125"/>
      <c r="FI149" s="125"/>
      <c r="FJ149" s="125"/>
      <c r="FK149" s="125"/>
      <c r="FL149" s="125"/>
      <c r="FM149" s="125"/>
      <c r="FN149" s="125"/>
      <c r="FO149" s="125"/>
      <c r="FP149" s="125"/>
      <c r="FQ149" s="125"/>
      <c r="FR149" s="125"/>
      <c r="FS149" s="125"/>
      <c r="FT149" s="125"/>
      <c r="FU149" s="125"/>
      <c r="FV149" s="125"/>
      <c r="FW149" s="125"/>
      <c r="FX149" s="125"/>
      <c r="FY149" s="125"/>
      <c r="FZ149" s="125"/>
      <c r="GA149" s="125"/>
      <c r="GB149" s="125"/>
      <c r="GC149" s="125"/>
      <c r="GD149" s="125"/>
      <c r="GE149" s="125"/>
      <c r="GF149" s="125"/>
      <c r="GG149" s="125"/>
      <c r="GH149" s="125"/>
      <c r="GI149" s="125"/>
      <c r="GJ149" s="125"/>
      <c r="GK149" s="125"/>
      <c r="GL149" s="125"/>
      <c r="GM149" s="125"/>
      <c r="GN149" s="125"/>
      <c r="GO149" s="125"/>
      <c r="GP149" s="125"/>
      <c r="GQ149" s="125"/>
      <c r="GR149" s="125"/>
      <c r="GS149" s="125"/>
      <c r="GT149" s="125"/>
      <c r="GU149" s="125"/>
      <c r="GV149" s="125"/>
      <c r="GW149" s="125"/>
      <c r="GX149" s="125"/>
      <c r="GY149" s="125"/>
      <c r="GZ149" s="125"/>
    </row>
    <row r="150" spans="1:208" s="157" customFormat="1" ht="20.25" customHeight="1"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5"/>
      <c r="AT150" s="125"/>
      <c r="AU150" s="125"/>
      <c r="AV150" s="125"/>
      <c r="AW150" s="125"/>
      <c r="AX150" s="125"/>
      <c r="AY150" s="125"/>
      <c r="AZ150" s="125"/>
      <c r="BA150" s="125"/>
      <c r="BB150" s="125"/>
      <c r="BC150" s="125"/>
      <c r="BD150" s="125"/>
      <c r="BE150" s="125"/>
      <c r="BF150" s="125"/>
      <c r="BG150" s="125"/>
      <c r="BH150" s="125"/>
      <c r="BI150" s="125"/>
      <c r="BJ150" s="125"/>
      <c r="BK150" s="125"/>
      <c r="BL150" s="125"/>
      <c r="BM150" s="125"/>
      <c r="BN150" s="125"/>
      <c r="BO150" s="125"/>
      <c r="BP150" s="125"/>
      <c r="BQ150" s="125"/>
      <c r="BR150" s="125"/>
      <c r="BS150" s="125"/>
      <c r="BT150" s="125"/>
      <c r="BU150" s="125"/>
      <c r="BV150" s="125"/>
      <c r="BW150" s="125"/>
      <c r="BX150" s="125"/>
      <c r="BY150" s="125"/>
      <c r="BZ150" s="125"/>
      <c r="CA150" s="125"/>
      <c r="CB150" s="125"/>
      <c r="CC150" s="125"/>
      <c r="CD150" s="125"/>
      <c r="CE150" s="125"/>
      <c r="CF150" s="125"/>
      <c r="CG150" s="125"/>
      <c r="CH150" s="125"/>
      <c r="CI150" s="125"/>
      <c r="CJ150" s="125"/>
      <c r="CK150" s="125"/>
      <c r="CL150" s="125"/>
      <c r="CM150" s="125"/>
      <c r="CN150" s="125"/>
      <c r="CO150" s="125"/>
      <c r="CP150" s="125"/>
      <c r="CQ150" s="125"/>
      <c r="CR150" s="125"/>
      <c r="CS150" s="125"/>
      <c r="CT150" s="125"/>
      <c r="CU150" s="125"/>
      <c r="CV150" s="125"/>
      <c r="CW150" s="125"/>
      <c r="CX150" s="125"/>
      <c r="CY150" s="125"/>
      <c r="CZ150" s="125"/>
      <c r="DA150" s="125"/>
      <c r="DB150" s="125"/>
      <c r="DC150" s="125"/>
      <c r="DD150" s="125"/>
      <c r="DE150" s="125"/>
      <c r="DF150" s="125"/>
      <c r="DG150" s="125"/>
      <c r="DH150" s="125"/>
      <c r="DI150" s="125"/>
      <c r="DJ150" s="125"/>
      <c r="DK150" s="125"/>
      <c r="DL150" s="125"/>
      <c r="DM150" s="125"/>
      <c r="DN150" s="125"/>
      <c r="DO150" s="125"/>
      <c r="DP150" s="125"/>
      <c r="DQ150" s="125"/>
      <c r="DR150" s="125"/>
      <c r="DS150" s="125"/>
      <c r="DT150" s="125"/>
      <c r="DU150" s="125"/>
      <c r="DV150" s="125"/>
      <c r="DW150" s="125"/>
      <c r="DX150" s="125"/>
      <c r="DY150" s="125"/>
      <c r="DZ150" s="125"/>
      <c r="EA150" s="125"/>
      <c r="EB150" s="125"/>
      <c r="EC150" s="125"/>
      <c r="ED150" s="125"/>
      <c r="EE150" s="125"/>
      <c r="EF150" s="125"/>
      <c r="EG150" s="125"/>
      <c r="EH150" s="125"/>
      <c r="EI150" s="125"/>
      <c r="EJ150" s="125"/>
      <c r="EK150" s="125"/>
      <c r="EL150" s="125"/>
      <c r="EM150" s="125"/>
      <c r="EN150" s="125"/>
      <c r="EO150" s="125"/>
      <c r="EP150" s="125"/>
      <c r="EQ150" s="125"/>
      <c r="ER150" s="125"/>
      <c r="ES150" s="125"/>
      <c r="ET150" s="125"/>
      <c r="EU150" s="125"/>
      <c r="EV150" s="125"/>
      <c r="EW150" s="125"/>
      <c r="EX150" s="125"/>
      <c r="EY150" s="125"/>
      <c r="EZ150" s="125"/>
      <c r="FA150" s="125"/>
      <c r="FB150" s="125"/>
      <c r="FC150" s="125"/>
      <c r="FD150" s="125"/>
      <c r="FE150" s="125"/>
      <c r="FF150" s="125"/>
      <c r="FG150" s="125"/>
      <c r="FH150" s="125"/>
      <c r="FI150" s="125"/>
      <c r="FJ150" s="125"/>
      <c r="FK150" s="125"/>
      <c r="FL150" s="125"/>
      <c r="FM150" s="125"/>
      <c r="FN150" s="125"/>
      <c r="FO150" s="125"/>
      <c r="FP150" s="125"/>
      <c r="FQ150" s="125"/>
      <c r="FR150" s="125"/>
      <c r="FS150" s="125"/>
      <c r="FT150" s="125"/>
      <c r="FU150" s="125"/>
      <c r="FV150" s="125"/>
      <c r="FW150" s="125"/>
      <c r="FX150" s="125"/>
      <c r="FY150" s="125"/>
      <c r="FZ150" s="125"/>
      <c r="GA150" s="125"/>
      <c r="GB150" s="125"/>
      <c r="GC150" s="125"/>
      <c r="GD150" s="125"/>
      <c r="GE150" s="125"/>
      <c r="GF150" s="125"/>
      <c r="GG150" s="125"/>
      <c r="GH150" s="125"/>
      <c r="GI150" s="125"/>
      <c r="GJ150" s="125"/>
      <c r="GK150" s="125"/>
      <c r="GL150" s="125"/>
      <c r="GM150" s="125"/>
      <c r="GN150" s="125"/>
      <c r="GO150" s="125"/>
      <c r="GP150" s="125"/>
      <c r="GQ150" s="125"/>
      <c r="GR150" s="125"/>
      <c r="GS150" s="125"/>
      <c r="GT150" s="125"/>
      <c r="GU150" s="125"/>
      <c r="GV150" s="125"/>
      <c r="GW150" s="125"/>
      <c r="GX150" s="125"/>
      <c r="GY150" s="125"/>
      <c r="GZ150" s="125"/>
    </row>
    <row r="151" spans="1:208" s="157" customFormat="1" ht="20.25" customHeight="1"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  <c r="AA151" s="125"/>
      <c r="AB151" s="125"/>
      <c r="AC151" s="125"/>
      <c r="AD151" s="125"/>
      <c r="AE151" s="125"/>
      <c r="AF151" s="125"/>
      <c r="AG151" s="125"/>
      <c r="AH151" s="125"/>
      <c r="AI151" s="125"/>
      <c r="AJ151" s="125"/>
      <c r="AK151" s="125"/>
      <c r="AL151" s="125"/>
      <c r="AM151" s="125"/>
      <c r="AN151" s="125"/>
      <c r="AO151" s="125"/>
      <c r="AP151" s="125"/>
      <c r="AQ151" s="125"/>
      <c r="AR151" s="125"/>
      <c r="AS151" s="125"/>
      <c r="AT151" s="125"/>
      <c r="AU151" s="125"/>
      <c r="AV151" s="125"/>
      <c r="AW151" s="125"/>
      <c r="AX151" s="125"/>
      <c r="AY151" s="125"/>
      <c r="AZ151" s="125"/>
      <c r="BA151" s="125"/>
      <c r="BB151" s="125"/>
      <c r="BC151" s="125"/>
      <c r="BD151" s="125"/>
      <c r="BE151" s="125"/>
      <c r="BF151" s="125"/>
      <c r="BG151" s="125"/>
      <c r="BH151" s="125"/>
      <c r="BI151" s="125"/>
      <c r="BJ151" s="125"/>
      <c r="BK151" s="125"/>
      <c r="BL151" s="125"/>
      <c r="BM151" s="125"/>
      <c r="BN151" s="125"/>
      <c r="BO151" s="125"/>
      <c r="BP151" s="125"/>
      <c r="BQ151" s="125"/>
      <c r="BR151" s="125"/>
      <c r="BS151" s="125"/>
      <c r="BT151" s="125"/>
      <c r="BU151" s="125"/>
      <c r="BV151" s="125"/>
      <c r="BW151" s="125"/>
      <c r="BX151" s="125"/>
      <c r="BY151" s="125"/>
      <c r="BZ151" s="125"/>
      <c r="CA151" s="125"/>
      <c r="CB151" s="125"/>
      <c r="CC151" s="125"/>
      <c r="CD151" s="125"/>
      <c r="CE151" s="125"/>
      <c r="CF151" s="125"/>
      <c r="CG151" s="125"/>
      <c r="CH151" s="125"/>
      <c r="CI151" s="125"/>
      <c r="CJ151" s="125"/>
      <c r="CK151" s="125"/>
      <c r="CL151" s="125"/>
      <c r="CM151" s="125"/>
      <c r="CN151" s="125"/>
      <c r="CO151" s="125"/>
      <c r="CP151" s="125"/>
      <c r="CQ151" s="125"/>
      <c r="CR151" s="125"/>
      <c r="CS151" s="125"/>
      <c r="CT151" s="125"/>
      <c r="CU151" s="125"/>
      <c r="CV151" s="125"/>
      <c r="CW151" s="125"/>
      <c r="CX151" s="125"/>
      <c r="CY151" s="125"/>
      <c r="CZ151" s="125"/>
      <c r="DA151" s="125"/>
      <c r="DB151" s="125"/>
      <c r="DC151" s="125"/>
      <c r="DD151" s="125"/>
      <c r="DE151" s="125"/>
      <c r="DF151" s="125"/>
      <c r="DG151" s="125"/>
      <c r="DH151" s="125"/>
      <c r="DI151" s="125"/>
      <c r="DJ151" s="125"/>
      <c r="DK151" s="125"/>
      <c r="DL151" s="125"/>
      <c r="DM151" s="125"/>
      <c r="DN151" s="125"/>
      <c r="DO151" s="125"/>
      <c r="DP151" s="125"/>
      <c r="DQ151" s="125"/>
      <c r="DR151" s="125"/>
      <c r="DS151" s="125"/>
      <c r="DT151" s="125"/>
      <c r="DU151" s="125"/>
      <c r="DV151" s="125"/>
      <c r="DW151" s="125"/>
      <c r="DX151" s="125"/>
      <c r="DY151" s="125"/>
      <c r="DZ151" s="125"/>
      <c r="EA151" s="125"/>
      <c r="EB151" s="125"/>
      <c r="EC151" s="125"/>
      <c r="ED151" s="125"/>
      <c r="EE151" s="125"/>
      <c r="EF151" s="125"/>
      <c r="EG151" s="125"/>
      <c r="EH151" s="125"/>
      <c r="EI151" s="125"/>
      <c r="EJ151" s="125"/>
      <c r="EK151" s="125"/>
      <c r="EL151" s="125"/>
      <c r="EM151" s="125"/>
      <c r="EN151" s="125"/>
      <c r="EO151" s="125"/>
      <c r="EP151" s="125"/>
      <c r="EQ151" s="125"/>
      <c r="ER151" s="125"/>
      <c r="ES151" s="125"/>
      <c r="ET151" s="125"/>
      <c r="EU151" s="125"/>
      <c r="EV151" s="125"/>
      <c r="EW151" s="125"/>
      <c r="EX151" s="125"/>
      <c r="EY151" s="125"/>
      <c r="EZ151" s="125"/>
      <c r="FA151" s="125"/>
      <c r="FB151" s="125"/>
      <c r="FC151" s="125"/>
      <c r="FD151" s="125"/>
      <c r="FE151" s="125"/>
      <c r="FF151" s="125"/>
      <c r="FG151" s="125"/>
      <c r="FH151" s="125"/>
      <c r="FI151" s="125"/>
      <c r="FJ151" s="125"/>
      <c r="FK151" s="125"/>
      <c r="FL151" s="125"/>
      <c r="FM151" s="125"/>
      <c r="FN151" s="125"/>
      <c r="FO151" s="125"/>
      <c r="FP151" s="125"/>
      <c r="FQ151" s="125"/>
      <c r="FR151" s="125"/>
      <c r="FS151" s="125"/>
      <c r="FT151" s="125"/>
      <c r="FU151" s="125"/>
      <c r="FV151" s="125"/>
      <c r="FW151" s="125"/>
      <c r="FX151" s="125"/>
      <c r="FY151" s="125"/>
      <c r="FZ151" s="125"/>
      <c r="GA151" s="125"/>
      <c r="GB151" s="125"/>
      <c r="GC151" s="125"/>
      <c r="GD151" s="125"/>
      <c r="GE151" s="125"/>
      <c r="GF151" s="125"/>
      <c r="GG151" s="125"/>
      <c r="GH151" s="125"/>
      <c r="GI151" s="125"/>
      <c r="GJ151" s="125"/>
      <c r="GK151" s="125"/>
      <c r="GL151" s="125"/>
      <c r="GM151" s="125"/>
      <c r="GN151" s="125"/>
      <c r="GO151" s="125"/>
      <c r="GP151" s="125"/>
      <c r="GQ151" s="125"/>
      <c r="GR151" s="125"/>
      <c r="GS151" s="125"/>
      <c r="GT151" s="125"/>
      <c r="GU151" s="125"/>
      <c r="GV151" s="125"/>
      <c r="GW151" s="125"/>
      <c r="GX151" s="125"/>
      <c r="GY151" s="125"/>
      <c r="GZ151" s="125"/>
    </row>
    <row r="152" spans="1:208" s="157" customFormat="1" ht="20.25" customHeight="1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5"/>
      <c r="EF152" s="125"/>
      <c r="EG152" s="125"/>
      <c r="EH152" s="125"/>
      <c r="EI152" s="125"/>
      <c r="EJ152" s="125"/>
      <c r="EK152" s="125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5"/>
      <c r="FF152" s="125"/>
      <c r="FG152" s="125"/>
      <c r="FH152" s="125"/>
      <c r="FI152" s="125"/>
      <c r="FJ152" s="125"/>
      <c r="FK152" s="125"/>
      <c r="FL152" s="125"/>
      <c r="FM152" s="125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125"/>
      <c r="GA152" s="125"/>
      <c r="GB152" s="125"/>
      <c r="GC152" s="125"/>
      <c r="GD152" s="125"/>
      <c r="GE152" s="125"/>
      <c r="GF152" s="125"/>
      <c r="GG152" s="125"/>
      <c r="GH152" s="125"/>
      <c r="GI152" s="125"/>
      <c r="GJ152" s="125"/>
      <c r="GK152" s="125"/>
      <c r="GL152" s="125"/>
      <c r="GM152" s="125"/>
      <c r="GN152" s="125"/>
      <c r="GO152" s="125"/>
      <c r="GP152" s="125"/>
      <c r="GQ152" s="125"/>
      <c r="GR152" s="125"/>
      <c r="GS152" s="125"/>
      <c r="GT152" s="125"/>
      <c r="GU152" s="125"/>
      <c r="GV152" s="125"/>
      <c r="GW152" s="125"/>
      <c r="GX152" s="125"/>
      <c r="GY152" s="125"/>
      <c r="GZ152" s="125"/>
    </row>
    <row r="153" spans="1:208" s="157" customFormat="1" ht="20.25" customHeight="1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  <c r="DW153" s="125"/>
      <c r="DX153" s="125"/>
      <c r="DY153" s="125"/>
      <c r="DZ153" s="125"/>
      <c r="EA153" s="125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125"/>
      <c r="GL153" s="125"/>
      <c r="GM153" s="125"/>
      <c r="GN153" s="125"/>
      <c r="GO153" s="125"/>
      <c r="GP153" s="125"/>
      <c r="GQ153" s="125"/>
      <c r="GR153" s="125"/>
      <c r="GS153" s="125"/>
      <c r="GT153" s="125"/>
      <c r="GU153" s="125"/>
      <c r="GV153" s="125"/>
      <c r="GW153" s="125"/>
      <c r="GX153" s="125"/>
      <c r="GY153" s="125"/>
      <c r="GZ153" s="125"/>
    </row>
    <row r="154" spans="1:208" s="157" customFormat="1" ht="20.25" customHeight="1"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</row>
    <row r="155" spans="1:208" s="157" customFormat="1" ht="20.25" customHeight="1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</row>
    <row r="156" spans="1:208" s="157" customFormat="1" ht="20.25" customHeight="1"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</row>
    <row r="157" spans="1:208" s="157" customFormat="1" ht="20.25" customHeight="1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</row>
    <row r="158" spans="1:208" s="157" customFormat="1" ht="20.25" customHeight="1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</row>
    <row r="159" spans="1:208" s="157" customFormat="1" ht="20.25" customHeight="1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</row>
    <row r="160" spans="1:208" s="157" customFormat="1" ht="20.25" customHeight="1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  <c r="BT160" s="125"/>
      <c r="BU160" s="125"/>
      <c r="BV160" s="125"/>
      <c r="BW160" s="125"/>
      <c r="BX160" s="125"/>
      <c r="BY160" s="125"/>
      <c r="BZ160" s="125"/>
      <c r="CA160" s="125"/>
      <c r="CB160" s="125"/>
      <c r="CC160" s="125"/>
      <c r="CD160" s="125"/>
      <c r="CE160" s="125"/>
      <c r="CF160" s="125"/>
      <c r="CG160" s="125"/>
      <c r="CH160" s="125"/>
      <c r="CI160" s="125"/>
      <c r="CJ160" s="125"/>
      <c r="CK160" s="125"/>
      <c r="CL160" s="125"/>
      <c r="CM160" s="125"/>
      <c r="CN160" s="125"/>
      <c r="CO160" s="125"/>
      <c r="CP160" s="125"/>
      <c r="CQ160" s="125"/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5"/>
      <c r="DE160" s="125"/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5"/>
      <c r="DR160" s="125"/>
      <c r="DS160" s="125"/>
      <c r="DT160" s="125"/>
      <c r="DU160" s="125"/>
      <c r="DV160" s="125"/>
      <c r="DW160" s="125"/>
      <c r="DX160" s="125"/>
      <c r="DY160" s="125"/>
      <c r="DZ160" s="125"/>
      <c r="EA160" s="125"/>
      <c r="EB160" s="125"/>
      <c r="EC160" s="125"/>
      <c r="ED160" s="125"/>
      <c r="EE160" s="125"/>
      <c r="EF160" s="125"/>
      <c r="EG160" s="125"/>
      <c r="EH160" s="125"/>
      <c r="EI160" s="125"/>
      <c r="EJ160" s="125"/>
      <c r="EK160" s="125"/>
      <c r="EL160" s="125"/>
      <c r="EM160" s="125"/>
      <c r="EN160" s="125"/>
      <c r="EO160" s="125"/>
      <c r="EP160" s="125"/>
      <c r="EQ160" s="125"/>
      <c r="ER160" s="125"/>
      <c r="ES160" s="125"/>
      <c r="ET160" s="125"/>
      <c r="EU160" s="125"/>
      <c r="EV160" s="125"/>
      <c r="EW160" s="125"/>
      <c r="EX160" s="125"/>
      <c r="EY160" s="125"/>
      <c r="EZ160" s="125"/>
      <c r="FA160" s="125"/>
      <c r="FB160" s="125"/>
      <c r="FC160" s="125"/>
      <c r="FD160" s="125"/>
      <c r="FE160" s="125"/>
      <c r="FF160" s="125"/>
      <c r="FG160" s="125"/>
      <c r="FH160" s="125"/>
      <c r="FI160" s="125"/>
      <c r="FJ160" s="125"/>
      <c r="FK160" s="125"/>
      <c r="FL160" s="125"/>
      <c r="FM160" s="125"/>
      <c r="FN160" s="125"/>
      <c r="FO160" s="125"/>
      <c r="FP160" s="125"/>
      <c r="FQ160" s="125"/>
      <c r="FR160" s="125"/>
      <c r="FS160" s="125"/>
      <c r="FT160" s="125"/>
      <c r="FU160" s="125"/>
      <c r="FV160" s="125"/>
      <c r="FW160" s="125"/>
      <c r="FX160" s="125"/>
      <c r="FY160" s="125"/>
      <c r="FZ160" s="125"/>
      <c r="GA160" s="125"/>
      <c r="GB160" s="125"/>
      <c r="GC160" s="125"/>
      <c r="GD160" s="125"/>
      <c r="GE160" s="125"/>
      <c r="GF160" s="125"/>
      <c r="GG160" s="125"/>
      <c r="GH160" s="125"/>
      <c r="GI160" s="125"/>
      <c r="GJ160" s="125"/>
      <c r="GK160" s="125"/>
      <c r="GL160" s="125"/>
      <c r="GM160" s="125"/>
      <c r="GN160" s="125"/>
      <c r="GO160" s="125"/>
      <c r="GP160" s="125"/>
      <c r="GQ160" s="125"/>
      <c r="GR160" s="125"/>
      <c r="GS160" s="125"/>
      <c r="GT160" s="125"/>
      <c r="GU160" s="125"/>
      <c r="GV160" s="125"/>
      <c r="GW160" s="125"/>
      <c r="GX160" s="125"/>
      <c r="GY160" s="125"/>
      <c r="GZ160" s="125"/>
    </row>
    <row r="161" spans="1:208" s="157" customFormat="1" ht="20.25" customHeight="1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</row>
    <row r="162" spans="1:208" s="157" customFormat="1" ht="20.25" customHeight="1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  <c r="BT162" s="125"/>
      <c r="BU162" s="125"/>
      <c r="BV162" s="125"/>
      <c r="BW162" s="125"/>
      <c r="BX162" s="125"/>
      <c r="BY162" s="125"/>
      <c r="BZ162" s="125"/>
      <c r="CA162" s="125"/>
      <c r="CB162" s="125"/>
      <c r="CC162" s="125"/>
      <c r="CD162" s="125"/>
      <c r="CE162" s="125"/>
      <c r="CF162" s="125"/>
      <c r="CG162" s="125"/>
      <c r="CH162" s="125"/>
      <c r="CI162" s="125"/>
      <c r="CJ162" s="125"/>
      <c r="CK162" s="125"/>
      <c r="CL162" s="125"/>
      <c r="CM162" s="125"/>
      <c r="CN162" s="125"/>
      <c r="CO162" s="125"/>
      <c r="CP162" s="125"/>
      <c r="CQ162" s="125"/>
      <c r="CR162" s="125"/>
      <c r="CS162" s="125"/>
      <c r="CT162" s="125"/>
      <c r="CU162" s="125"/>
      <c r="CV162" s="125"/>
      <c r="CW162" s="125"/>
      <c r="CX162" s="125"/>
      <c r="CY162" s="125"/>
      <c r="CZ162" s="125"/>
      <c r="DA162" s="125"/>
      <c r="DB162" s="125"/>
      <c r="DC162" s="125"/>
      <c r="DD162" s="125"/>
      <c r="DE162" s="125"/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5"/>
      <c r="DR162" s="125"/>
      <c r="DS162" s="125"/>
      <c r="DT162" s="125"/>
      <c r="DU162" s="125"/>
      <c r="DV162" s="125"/>
      <c r="DW162" s="125"/>
      <c r="DX162" s="125"/>
      <c r="DY162" s="125"/>
      <c r="DZ162" s="125"/>
      <c r="EA162" s="125"/>
      <c r="EB162" s="125"/>
      <c r="EC162" s="125"/>
      <c r="ED162" s="125"/>
      <c r="EE162" s="125"/>
      <c r="EF162" s="125"/>
      <c r="EG162" s="125"/>
      <c r="EH162" s="125"/>
      <c r="EI162" s="125"/>
      <c r="EJ162" s="125"/>
      <c r="EK162" s="125"/>
      <c r="EL162" s="125"/>
      <c r="EM162" s="125"/>
      <c r="EN162" s="125"/>
      <c r="EO162" s="125"/>
      <c r="EP162" s="125"/>
      <c r="EQ162" s="125"/>
      <c r="ER162" s="125"/>
      <c r="ES162" s="125"/>
      <c r="ET162" s="125"/>
      <c r="EU162" s="125"/>
      <c r="EV162" s="125"/>
      <c r="EW162" s="125"/>
      <c r="EX162" s="125"/>
      <c r="EY162" s="125"/>
      <c r="EZ162" s="125"/>
      <c r="FA162" s="125"/>
      <c r="FB162" s="125"/>
      <c r="FC162" s="125"/>
      <c r="FD162" s="125"/>
      <c r="FE162" s="125"/>
      <c r="FF162" s="125"/>
      <c r="FG162" s="125"/>
      <c r="FH162" s="125"/>
      <c r="FI162" s="125"/>
      <c r="FJ162" s="125"/>
      <c r="FK162" s="125"/>
      <c r="FL162" s="125"/>
      <c r="FM162" s="125"/>
      <c r="FN162" s="125"/>
      <c r="FO162" s="125"/>
      <c r="FP162" s="125"/>
      <c r="FQ162" s="125"/>
      <c r="FR162" s="125"/>
      <c r="FS162" s="125"/>
      <c r="FT162" s="125"/>
      <c r="FU162" s="125"/>
      <c r="FV162" s="125"/>
      <c r="FW162" s="125"/>
      <c r="FX162" s="125"/>
      <c r="FY162" s="125"/>
      <c r="FZ162" s="125"/>
      <c r="GA162" s="125"/>
      <c r="GB162" s="125"/>
      <c r="GC162" s="125"/>
      <c r="GD162" s="125"/>
      <c r="GE162" s="125"/>
      <c r="GF162" s="125"/>
      <c r="GG162" s="125"/>
      <c r="GH162" s="125"/>
      <c r="GI162" s="125"/>
      <c r="GJ162" s="125"/>
      <c r="GK162" s="125"/>
      <c r="GL162" s="125"/>
      <c r="GM162" s="125"/>
      <c r="GN162" s="125"/>
      <c r="GO162" s="125"/>
      <c r="GP162" s="125"/>
      <c r="GQ162" s="125"/>
      <c r="GR162" s="125"/>
      <c r="GS162" s="125"/>
      <c r="GT162" s="125"/>
      <c r="GU162" s="125"/>
      <c r="GV162" s="125"/>
      <c r="GW162" s="125"/>
      <c r="GX162" s="125"/>
      <c r="GY162" s="125"/>
      <c r="GZ162" s="125"/>
    </row>
    <row r="163" spans="1:208" s="157" customFormat="1" ht="20.25" customHeight="1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</row>
    <row r="164" spans="1:208" s="157" customFormat="1" ht="20.25" customHeight="1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</row>
    <row r="165" spans="1:208" ht="20.25" customHeight="1">
      <c r="A165" s="512" t="s">
        <v>198</v>
      </c>
      <c r="B165" s="512"/>
      <c r="C165" s="512"/>
      <c r="D165" s="512"/>
      <c r="E165" s="512"/>
      <c r="F165" s="512"/>
      <c r="G165" s="512"/>
      <c r="H165" s="512"/>
      <c r="I165" s="512"/>
      <c r="J165" s="512"/>
      <c r="K165" s="512"/>
      <c r="L165" s="512"/>
      <c r="M165" s="512"/>
      <c r="N165" s="512"/>
      <c r="O165" s="512"/>
      <c r="P165" s="512"/>
      <c r="Q165" s="512"/>
      <c r="R165" s="512"/>
      <c r="S165" s="512"/>
      <c r="T165" s="512"/>
      <c r="U165" s="512"/>
      <c r="V165" s="512"/>
      <c r="W165" s="512"/>
      <c r="X165" s="512"/>
      <c r="Y165" s="512"/>
      <c r="Z165" s="512"/>
    </row>
    <row r="166" spans="1:208" ht="20.25" customHeight="1">
      <c r="A166" s="512" t="s">
        <v>241</v>
      </c>
      <c r="B166" s="512"/>
      <c r="C166" s="512"/>
      <c r="D166" s="512"/>
      <c r="E166" s="512"/>
      <c r="F166" s="512"/>
      <c r="G166" s="512"/>
      <c r="H166" s="512"/>
      <c r="I166" s="512"/>
      <c r="J166" s="512"/>
      <c r="K166" s="512"/>
      <c r="L166" s="512"/>
      <c r="M166" s="512"/>
      <c r="N166" s="512"/>
      <c r="O166" s="512"/>
      <c r="P166" s="512"/>
      <c r="Q166" s="512"/>
      <c r="R166" s="512"/>
      <c r="S166" s="512"/>
      <c r="T166" s="512"/>
      <c r="U166" s="512"/>
      <c r="V166" s="512"/>
      <c r="W166" s="512"/>
      <c r="X166" s="512"/>
      <c r="Y166" s="512"/>
      <c r="Z166" s="512"/>
    </row>
    <row r="167" spans="1:208" ht="20.25" customHeight="1" thickBot="1">
      <c r="A167" s="513" t="str">
        <f>A46</f>
        <v>วันที่  30  พฤศจิกายน  2556</v>
      </c>
      <c r="B167" s="513"/>
      <c r="C167" s="513"/>
      <c r="D167" s="513"/>
      <c r="E167" s="513"/>
      <c r="F167" s="513"/>
      <c r="G167" s="513"/>
      <c r="H167" s="513"/>
      <c r="I167" s="513"/>
      <c r="J167" s="513"/>
      <c r="K167" s="513"/>
      <c r="L167" s="513"/>
      <c r="M167" s="513"/>
      <c r="N167" s="513"/>
      <c r="O167" s="513"/>
      <c r="P167" s="513"/>
      <c r="Q167" s="513"/>
      <c r="R167" s="513"/>
      <c r="S167" s="513"/>
      <c r="T167" s="513"/>
      <c r="U167" s="513"/>
      <c r="V167" s="513"/>
      <c r="W167" s="513"/>
      <c r="X167" s="513"/>
      <c r="Y167" s="513"/>
      <c r="Z167" s="513"/>
    </row>
    <row r="168" spans="1:208" ht="20.25" customHeight="1">
      <c r="A168" s="126" t="s">
        <v>200</v>
      </c>
      <c r="B168" s="514" t="s">
        <v>201</v>
      </c>
      <c r="C168" s="514"/>
      <c r="D168" s="514" t="s">
        <v>202</v>
      </c>
      <c r="E168" s="514"/>
      <c r="F168" s="514" t="s">
        <v>203</v>
      </c>
      <c r="G168" s="514"/>
      <c r="H168" s="514"/>
      <c r="I168" s="514" t="s">
        <v>204</v>
      </c>
      <c r="J168" s="514"/>
      <c r="K168" s="514" t="s">
        <v>205</v>
      </c>
      <c r="L168" s="514"/>
      <c r="M168" s="515" t="s">
        <v>206</v>
      </c>
      <c r="N168" s="516"/>
      <c r="O168" s="517"/>
      <c r="P168" s="514" t="s">
        <v>207</v>
      </c>
      <c r="Q168" s="514"/>
      <c r="R168" s="514" t="s">
        <v>208</v>
      </c>
      <c r="S168" s="514"/>
      <c r="T168" s="514"/>
      <c r="U168" s="167" t="s">
        <v>209</v>
      </c>
      <c r="V168" s="514" t="s">
        <v>210</v>
      </c>
      <c r="W168" s="514"/>
      <c r="X168" s="167" t="s">
        <v>211</v>
      </c>
      <c r="Y168" s="167" t="s">
        <v>212</v>
      </c>
      <c r="Z168" s="518" t="s">
        <v>55</v>
      </c>
    </row>
    <row r="169" spans="1:208" ht="20.25" customHeight="1" thickBot="1">
      <c r="A169" s="128" t="s">
        <v>213</v>
      </c>
      <c r="B169" s="129" t="s">
        <v>214</v>
      </c>
      <c r="C169" s="129" t="s">
        <v>215</v>
      </c>
      <c r="D169" s="129" t="s">
        <v>216</v>
      </c>
      <c r="E169" s="129" t="s">
        <v>217</v>
      </c>
      <c r="F169" s="129" t="s">
        <v>218</v>
      </c>
      <c r="G169" s="129" t="s">
        <v>219</v>
      </c>
      <c r="H169" s="129" t="s">
        <v>220</v>
      </c>
      <c r="I169" s="129" t="s">
        <v>221</v>
      </c>
      <c r="J169" s="129" t="s">
        <v>222</v>
      </c>
      <c r="K169" s="129" t="s">
        <v>223</v>
      </c>
      <c r="L169" s="129" t="s">
        <v>224</v>
      </c>
      <c r="M169" s="130" t="s">
        <v>225</v>
      </c>
      <c r="N169" s="129" t="s">
        <v>226</v>
      </c>
      <c r="O169" s="129" t="s">
        <v>227</v>
      </c>
      <c r="P169" s="129" t="s">
        <v>228</v>
      </c>
      <c r="Q169" s="129" t="s">
        <v>229</v>
      </c>
      <c r="R169" s="129" t="s">
        <v>230</v>
      </c>
      <c r="S169" s="129" t="s">
        <v>231</v>
      </c>
      <c r="T169" s="129" t="s">
        <v>232</v>
      </c>
      <c r="U169" s="129" t="s">
        <v>233</v>
      </c>
      <c r="V169" s="129" t="s">
        <v>234</v>
      </c>
      <c r="W169" s="129" t="s">
        <v>235</v>
      </c>
      <c r="X169" s="129" t="s">
        <v>236</v>
      </c>
      <c r="Y169" s="129" t="s">
        <v>237</v>
      </c>
      <c r="Z169" s="519"/>
    </row>
    <row r="170" spans="1:208" ht="20.25" customHeight="1">
      <c r="A170" s="158" t="s">
        <v>240</v>
      </c>
      <c r="B170" s="138"/>
      <c r="C170" s="138">
        <v>0</v>
      </c>
      <c r="D170" s="138">
        <v>0</v>
      </c>
      <c r="E170" s="138">
        <v>0</v>
      </c>
      <c r="F170" s="138">
        <v>0</v>
      </c>
      <c r="G170" s="138"/>
      <c r="H170" s="138">
        <v>0</v>
      </c>
      <c r="I170" s="138">
        <v>0</v>
      </c>
      <c r="J170" s="138">
        <v>0</v>
      </c>
      <c r="K170" s="138">
        <v>0</v>
      </c>
      <c r="L170" s="138">
        <v>0</v>
      </c>
      <c r="M170" s="138">
        <v>0</v>
      </c>
      <c r="N170" s="138">
        <v>0</v>
      </c>
      <c r="O170" s="138">
        <v>0</v>
      </c>
      <c r="P170" s="138">
        <v>0</v>
      </c>
      <c r="Q170" s="138">
        <v>0</v>
      </c>
      <c r="R170" s="138">
        <v>0</v>
      </c>
      <c r="S170" s="138">
        <v>0</v>
      </c>
      <c r="T170" s="138">
        <v>0</v>
      </c>
      <c r="U170" s="138">
        <v>0</v>
      </c>
      <c r="V170" s="138">
        <v>0</v>
      </c>
      <c r="W170" s="138">
        <v>0</v>
      </c>
      <c r="X170" s="138">
        <v>0</v>
      </c>
      <c r="Y170" s="138">
        <v>0</v>
      </c>
      <c r="Z170" s="133">
        <f>SUM(B170:Y170)</f>
        <v>0</v>
      </c>
    </row>
    <row r="171" spans="1:208" ht="20.25" customHeight="1">
      <c r="A171" s="159">
        <v>542000</v>
      </c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43">
        <f>SUM(B171:Y171)</f>
        <v>0</v>
      </c>
    </row>
    <row r="172" spans="1:208" ht="20.25" customHeight="1">
      <c r="A172" s="135">
        <v>420900</v>
      </c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>
        <v>0</v>
      </c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43">
        <f>SUM(B172:Y172)</f>
        <v>0</v>
      </c>
    </row>
    <row r="173" spans="1:208" ht="20.25" customHeight="1">
      <c r="A173" s="135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43">
        <f>SUM(B173:Y173)</f>
        <v>0</v>
      </c>
    </row>
    <row r="174" spans="1:208" ht="20.25" customHeight="1">
      <c r="A174" s="145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53"/>
    </row>
    <row r="175" spans="1:208" ht="20.25" customHeight="1" thickBot="1">
      <c r="A175" s="128"/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44">
        <f>SUM(B175:Y175)</f>
        <v>0</v>
      </c>
    </row>
    <row r="176" spans="1:208" ht="20.25" customHeight="1">
      <c r="A176" s="126" t="s">
        <v>238</v>
      </c>
      <c r="B176" s="160">
        <f>SUM(B171:B175)</f>
        <v>0</v>
      </c>
      <c r="C176" s="160">
        <f t="shared" ref="C176:I176" si="37">SUM(C175)</f>
        <v>0</v>
      </c>
      <c r="D176" s="160">
        <f t="shared" si="37"/>
        <v>0</v>
      </c>
      <c r="E176" s="160">
        <f t="shared" si="37"/>
        <v>0</v>
      </c>
      <c r="F176" s="160">
        <f t="shared" si="37"/>
        <v>0</v>
      </c>
      <c r="G176" s="160">
        <f t="shared" si="37"/>
        <v>0</v>
      </c>
      <c r="H176" s="160">
        <f t="shared" si="37"/>
        <v>0</v>
      </c>
      <c r="I176" s="160">
        <f t="shared" si="37"/>
        <v>0</v>
      </c>
      <c r="J176" s="160">
        <f>SUM(J172:J175)</f>
        <v>0</v>
      </c>
      <c r="K176" s="160">
        <f>SUM(K175)</f>
        <v>0</v>
      </c>
      <c r="L176" s="160">
        <f>SUM(L175)</f>
        <v>0</v>
      </c>
      <c r="M176" s="160">
        <f>SUM(M171:M175)</f>
        <v>0</v>
      </c>
      <c r="N176" s="160">
        <f>SUM(N171:N175)</f>
        <v>0</v>
      </c>
      <c r="O176" s="160">
        <f t="shared" ref="O176:Y176" si="38">SUM(O175)</f>
        <v>0</v>
      </c>
      <c r="P176" s="160">
        <f t="shared" si="38"/>
        <v>0</v>
      </c>
      <c r="Q176" s="160">
        <f t="shared" si="38"/>
        <v>0</v>
      </c>
      <c r="R176" s="160">
        <f t="shared" si="38"/>
        <v>0</v>
      </c>
      <c r="S176" s="160">
        <f t="shared" si="38"/>
        <v>0</v>
      </c>
      <c r="T176" s="160">
        <f t="shared" si="38"/>
        <v>0</v>
      </c>
      <c r="U176" s="160">
        <f t="shared" si="38"/>
        <v>0</v>
      </c>
      <c r="V176" s="160">
        <f t="shared" si="38"/>
        <v>0</v>
      </c>
      <c r="W176" s="160">
        <f t="shared" si="38"/>
        <v>0</v>
      </c>
      <c r="X176" s="160">
        <f t="shared" si="38"/>
        <v>0</v>
      </c>
      <c r="Y176" s="160">
        <f t="shared" si="38"/>
        <v>0</v>
      </c>
      <c r="Z176" s="140">
        <f>SUM(B176:Y176)</f>
        <v>0</v>
      </c>
    </row>
    <row r="177" spans="1:26" ht="20.25" customHeight="1" thickBot="1">
      <c r="A177" s="128" t="s">
        <v>239</v>
      </c>
      <c r="B177" s="161">
        <f t="shared" ref="B177:Z177" si="39">B170+B176</f>
        <v>0</v>
      </c>
      <c r="C177" s="161">
        <f t="shared" si="39"/>
        <v>0</v>
      </c>
      <c r="D177" s="161">
        <f t="shared" si="39"/>
        <v>0</v>
      </c>
      <c r="E177" s="161">
        <f t="shared" si="39"/>
        <v>0</v>
      </c>
      <c r="F177" s="161">
        <f t="shared" si="39"/>
        <v>0</v>
      </c>
      <c r="G177" s="161">
        <f t="shared" si="39"/>
        <v>0</v>
      </c>
      <c r="H177" s="161">
        <f t="shared" si="39"/>
        <v>0</v>
      </c>
      <c r="I177" s="161">
        <f t="shared" si="39"/>
        <v>0</v>
      </c>
      <c r="J177" s="161">
        <f t="shared" si="39"/>
        <v>0</v>
      </c>
      <c r="K177" s="161">
        <f t="shared" si="39"/>
        <v>0</v>
      </c>
      <c r="L177" s="161">
        <f t="shared" si="39"/>
        <v>0</v>
      </c>
      <c r="M177" s="161">
        <f t="shared" si="39"/>
        <v>0</v>
      </c>
      <c r="N177" s="161">
        <f t="shared" si="39"/>
        <v>0</v>
      </c>
      <c r="O177" s="161">
        <f t="shared" si="39"/>
        <v>0</v>
      </c>
      <c r="P177" s="161">
        <f t="shared" si="39"/>
        <v>0</v>
      </c>
      <c r="Q177" s="161">
        <f t="shared" si="39"/>
        <v>0</v>
      </c>
      <c r="R177" s="161">
        <f t="shared" si="39"/>
        <v>0</v>
      </c>
      <c r="S177" s="161">
        <f t="shared" si="39"/>
        <v>0</v>
      </c>
      <c r="T177" s="161">
        <f t="shared" si="39"/>
        <v>0</v>
      </c>
      <c r="U177" s="161">
        <f t="shared" si="39"/>
        <v>0</v>
      </c>
      <c r="V177" s="161">
        <f t="shared" si="39"/>
        <v>0</v>
      </c>
      <c r="W177" s="161">
        <f t="shared" si="39"/>
        <v>0</v>
      </c>
      <c r="X177" s="161">
        <f t="shared" si="39"/>
        <v>0</v>
      </c>
      <c r="Y177" s="161">
        <f t="shared" si="39"/>
        <v>0</v>
      </c>
      <c r="Z177" s="144">
        <f t="shared" si="39"/>
        <v>0</v>
      </c>
    </row>
    <row r="178" spans="1:26" ht="20.25" customHeight="1">
      <c r="A178" s="158" t="s">
        <v>240</v>
      </c>
      <c r="B178" s="138"/>
      <c r="C178" s="138">
        <v>0</v>
      </c>
      <c r="D178" s="138">
        <v>0</v>
      </c>
      <c r="E178" s="138">
        <v>0</v>
      </c>
      <c r="F178" s="138">
        <v>0</v>
      </c>
      <c r="G178" s="138"/>
      <c r="H178" s="138"/>
      <c r="I178" s="138"/>
      <c r="J178" s="138"/>
      <c r="K178" s="138">
        <v>0</v>
      </c>
      <c r="L178" s="138">
        <v>0</v>
      </c>
      <c r="M178" s="138">
        <v>0</v>
      </c>
      <c r="N178" s="138">
        <v>0</v>
      </c>
      <c r="O178" s="138">
        <v>0</v>
      </c>
      <c r="P178" s="138">
        <v>0</v>
      </c>
      <c r="Q178" s="138">
        <v>0</v>
      </c>
      <c r="R178" s="138">
        <v>0</v>
      </c>
      <c r="S178" s="138">
        <v>0</v>
      </c>
      <c r="T178" s="138">
        <v>0</v>
      </c>
      <c r="U178" s="138">
        <v>0</v>
      </c>
      <c r="V178" s="138">
        <v>0</v>
      </c>
      <c r="W178" s="138">
        <v>0</v>
      </c>
      <c r="X178" s="138">
        <v>0</v>
      </c>
      <c r="Y178" s="138">
        <v>0</v>
      </c>
      <c r="Z178" s="162">
        <f>SUM(B178:Y178)</f>
        <v>0</v>
      </c>
    </row>
    <row r="179" spans="1:26" ht="20.25" customHeight="1">
      <c r="A179" s="159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63"/>
      <c r="Z179" s="143">
        <f>SUM(B179:Y179)</f>
        <v>0</v>
      </c>
    </row>
    <row r="180" spans="1:26" ht="20.25" customHeight="1">
      <c r="A180" s="164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3">
        <f>SUM(B180:Y180)</f>
        <v>0</v>
      </c>
    </row>
    <row r="181" spans="1:26" ht="20.25" customHeight="1">
      <c r="A181" s="164"/>
      <c r="B181" s="136"/>
      <c r="C181" s="136"/>
      <c r="D181" s="136"/>
      <c r="E181" s="136"/>
      <c r="F181" s="136"/>
      <c r="G181" s="136"/>
      <c r="H181" s="136">
        <v>0</v>
      </c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3">
        <f>SUM(B181:Y181)</f>
        <v>0</v>
      </c>
    </row>
    <row r="182" spans="1:26" ht="20.25" customHeight="1" thickBot="1">
      <c r="A182" s="164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3">
        <f>SUM(B182:Y182)</f>
        <v>0</v>
      </c>
    </row>
    <row r="183" spans="1:26" ht="20.25" customHeight="1">
      <c r="A183" s="126" t="s">
        <v>238</v>
      </c>
      <c r="B183" s="138">
        <f t="shared" ref="B183:Z183" si="40">SUM(B179:B182)</f>
        <v>0</v>
      </c>
      <c r="C183" s="138">
        <f t="shared" si="40"/>
        <v>0</v>
      </c>
      <c r="D183" s="138">
        <f t="shared" si="40"/>
        <v>0</v>
      </c>
      <c r="E183" s="138">
        <f t="shared" si="40"/>
        <v>0</v>
      </c>
      <c r="F183" s="138">
        <f t="shared" si="40"/>
        <v>0</v>
      </c>
      <c r="G183" s="138">
        <f t="shared" si="40"/>
        <v>0</v>
      </c>
      <c r="H183" s="138">
        <f t="shared" si="40"/>
        <v>0</v>
      </c>
      <c r="I183" s="138">
        <f t="shared" si="40"/>
        <v>0</v>
      </c>
      <c r="J183" s="138">
        <f t="shared" si="40"/>
        <v>0</v>
      </c>
      <c r="K183" s="138">
        <f t="shared" si="40"/>
        <v>0</v>
      </c>
      <c r="L183" s="138">
        <f t="shared" si="40"/>
        <v>0</v>
      </c>
      <c r="M183" s="138">
        <f t="shared" si="40"/>
        <v>0</v>
      </c>
      <c r="N183" s="138">
        <f t="shared" si="40"/>
        <v>0</v>
      </c>
      <c r="O183" s="138">
        <f t="shared" si="40"/>
        <v>0</v>
      </c>
      <c r="P183" s="138">
        <f t="shared" si="40"/>
        <v>0</v>
      </c>
      <c r="Q183" s="138">
        <f t="shared" si="40"/>
        <v>0</v>
      </c>
      <c r="R183" s="138">
        <f t="shared" si="40"/>
        <v>0</v>
      </c>
      <c r="S183" s="138">
        <f t="shared" si="40"/>
        <v>0</v>
      </c>
      <c r="T183" s="138">
        <f t="shared" si="40"/>
        <v>0</v>
      </c>
      <c r="U183" s="138">
        <f t="shared" si="40"/>
        <v>0</v>
      </c>
      <c r="V183" s="138">
        <f t="shared" si="40"/>
        <v>0</v>
      </c>
      <c r="W183" s="138">
        <f t="shared" si="40"/>
        <v>0</v>
      </c>
      <c r="X183" s="138">
        <f t="shared" si="40"/>
        <v>0</v>
      </c>
      <c r="Y183" s="138">
        <f t="shared" si="40"/>
        <v>0</v>
      </c>
      <c r="Z183" s="140">
        <f t="shared" si="40"/>
        <v>0</v>
      </c>
    </row>
    <row r="184" spans="1:26" ht="20.25" customHeight="1" thickBot="1">
      <c r="A184" s="128" t="s">
        <v>239</v>
      </c>
      <c r="B184" s="137">
        <f t="shared" ref="B184:Y184" si="41">B178+B183</f>
        <v>0</v>
      </c>
      <c r="C184" s="137">
        <f t="shared" si="41"/>
        <v>0</v>
      </c>
      <c r="D184" s="137">
        <f t="shared" si="41"/>
        <v>0</v>
      </c>
      <c r="E184" s="137">
        <f t="shared" si="41"/>
        <v>0</v>
      </c>
      <c r="F184" s="137">
        <f t="shared" si="41"/>
        <v>0</v>
      </c>
      <c r="G184" s="137">
        <f t="shared" si="41"/>
        <v>0</v>
      </c>
      <c r="H184" s="137">
        <f t="shared" si="41"/>
        <v>0</v>
      </c>
      <c r="I184" s="137">
        <f t="shared" si="41"/>
        <v>0</v>
      </c>
      <c r="J184" s="137">
        <f t="shared" si="41"/>
        <v>0</v>
      </c>
      <c r="K184" s="137">
        <f t="shared" si="41"/>
        <v>0</v>
      </c>
      <c r="L184" s="137">
        <f t="shared" si="41"/>
        <v>0</v>
      </c>
      <c r="M184" s="137">
        <f t="shared" si="41"/>
        <v>0</v>
      </c>
      <c r="N184" s="137">
        <f t="shared" si="41"/>
        <v>0</v>
      </c>
      <c r="O184" s="137">
        <f t="shared" si="41"/>
        <v>0</v>
      </c>
      <c r="P184" s="137">
        <f t="shared" si="41"/>
        <v>0</v>
      </c>
      <c r="Q184" s="137">
        <f t="shared" si="41"/>
        <v>0</v>
      </c>
      <c r="R184" s="137">
        <f t="shared" si="41"/>
        <v>0</v>
      </c>
      <c r="S184" s="137">
        <f t="shared" si="41"/>
        <v>0</v>
      </c>
      <c r="T184" s="137">
        <f t="shared" si="41"/>
        <v>0</v>
      </c>
      <c r="U184" s="137">
        <f t="shared" si="41"/>
        <v>0</v>
      </c>
      <c r="V184" s="137">
        <f t="shared" si="41"/>
        <v>0</v>
      </c>
      <c r="W184" s="137">
        <f t="shared" si="41"/>
        <v>0</v>
      </c>
      <c r="X184" s="137">
        <f t="shared" si="41"/>
        <v>0</v>
      </c>
      <c r="Y184" s="137">
        <f t="shared" si="41"/>
        <v>0</v>
      </c>
      <c r="Z184" s="144">
        <f>+Z178+Z183</f>
        <v>0</v>
      </c>
    </row>
    <row r="185" spans="1:26" ht="20.25" customHeight="1" thickBot="1">
      <c r="A185" s="126" t="s">
        <v>238</v>
      </c>
      <c r="B185" s="160">
        <f>B177+B184</f>
        <v>0</v>
      </c>
      <c r="C185" s="160">
        <f t="shared" ref="C185:M185" si="42">C177+C184</f>
        <v>0</v>
      </c>
      <c r="D185" s="160">
        <f t="shared" si="42"/>
        <v>0</v>
      </c>
      <c r="E185" s="160">
        <f t="shared" si="42"/>
        <v>0</v>
      </c>
      <c r="F185" s="160">
        <f t="shared" si="42"/>
        <v>0</v>
      </c>
      <c r="G185" s="160">
        <f t="shared" si="42"/>
        <v>0</v>
      </c>
      <c r="H185" s="160">
        <f t="shared" si="42"/>
        <v>0</v>
      </c>
      <c r="I185" s="160">
        <f t="shared" si="42"/>
        <v>0</v>
      </c>
      <c r="J185" s="160">
        <f t="shared" si="42"/>
        <v>0</v>
      </c>
      <c r="K185" s="160">
        <f t="shared" si="42"/>
        <v>0</v>
      </c>
      <c r="L185" s="160">
        <f t="shared" si="42"/>
        <v>0</v>
      </c>
      <c r="M185" s="160">
        <f t="shared" si="42"/>
        <v>0</v>
      </c>
      <c r="N185" s="160">
        <f>N177+N184</f>
        <v>0</v>
      </c>
      <c r="O185" s="160">
        <f t="shared" ref="O185" si="43">O177+O184</f>
        <v>0</v>
      </c>
      <c r="P185" s="160">
        <f t="shared" ref="P185" si="44">P177+P184</f>
        <v>0</v>
      </c>
      <c r="Q185" s="160">
        <f t="shared" ref="Q185" si="45">Q177+Q184</f>
        <v>0</v>
      </c>
      <c r="R185" s="160">
        <f t="shared" ref="R185" si="46">R177+R184</f>
        <v>0</v>
      </c>
      <c r="S185" s="160">
        <f t="shared" ref="S185" si="47">S177+S184</f>
        <v>0</v>
      </c>
      <c r="T185" s="160">
        <f t="shared" ref="T185" si="48">T177+T184</f>
        <v>0</v>
      </c>
      <c r="U185" s="160">
        <f t="shared" ref="U185" si="49">U177+U184</f>
        <v>0</v>
      </c>
      <c r="V185" s="160">
        <f t="shared" ref="V185" si="50">V177+V184</f>
        <v>0</v>
      </c>
      <c r="W185" s="160">
        <f t="shared" ref="W185" si="51">W177+W184</f>
        <v>0</v>
      </c>
      <c r="X185" s="160">
        <f t="shared" ref="X185" si="52">X177+X184</f>
        <v>0</v>
      </c>
      <c r="Y185" s="160">
        <f>Y177+Y184</f>
        <v>0</v>
      </c>
      <c r="Z185" s="160">
        <f t="shared" ref="Z185:Z186" si="53">Z177+Z184</f>
        <v>0</v>
      </c>
    </row>
    <row r="186" spans="1:26" ht="20.25" customHeight="1" thickBot="1">
      <c r="A186" s="128" t="s">
        <v>239</v>
      </c>
      <c r="B186" s="165">
        <f>B177+B184</f>
        <v>0</v>
      </c>
      <c r="C186" s="165">
        <f t="shared" ref="C186:N186" si="54">C177+C184</f>
        <v>0</v>
      </c>
      <c r="D186" s="165">
        <f t="shared" si="54"/>
        <v>0</v>
      </c>
      <c r="E186" s="165">
        <f t="shared" si="54"/>
        <v>0</v>
      </c>
      <c r="F186" s="165">
        <f t="shared" si="54"/>
        <v>0</v>
      </c>
      <c r="G186" s="165">
        <f t="shared" si="54"/>
        <v>0</v>
      </c>
      <c r="H186" s="165">
        <f t="shared" si="54"/>
        <v>0</v>
      </c>
      <c r="I186" s="165">
        <f t="shared" si="54"/>
        <v>0</v>
      </c>
      <c r="J186" s="165">
        <f t="shared" si="54"/>
        <v>0</v>
      </c>
      <c r="K186" s="165">
        <f t="shared" si="54"/>
        <v>0</v>
      </c>
      <c r="L186" s="165">
        <f t="shared" si="54"/>
        <v>0</v>
      </c>
      <c r="M186" s="165">
        <f t="shared" si="54"/>
        <v>0</v>
      </c>
      <c r="N186" s="165">
        <f t="shared" si="54"/>
        <v>0</v>
      </c>
      <c r="O186" s="165">
        <f t="shared" ref="O186:Y186" si="55">O60+O69+O80+O101+O109+O123+O137+O147+O156+O177+O184</f>
        <v>0</v>
      </c>
      <c r="P186" s="165">
        <f t="shared" si="55"/>
        <v>0</v>
      </c>
      <c r="Q186" s="165">
        <f t="shared" si="55"/>
        <v>0</v>
      </c>
      <c r="R186" s="165">
        <f t="shared" si="55"/>
        <v>0</v>
      </c>
      <c r="S186" s="165">
        <f t="shared" si="55"/>
        <v>0</v>
      </c>
      <c r="T186" s="165">
        <f t="shared" si="55"/>
        <v>0</v>
      </c>
      <c r="U186" s="165">
        <f t="shared" si="55"/>
        <v>0</v>
      </c>
      <c r="V186" s="165">
        <f t="shared" si="55"/>
        <v>0</v>
      </c>
      <c r="W186" s="165">
        <f t="shared" si="55"/>
        <v>0</v>
      </c>
      <c r="X186" s="165">
        <f t="shared" si="55"/>
        <v>0</v>
      </c>
      <c r="Y186" s="165">
        <f t="shared" si="55"/>
        <v>0</v>
      </c>
      <c r="Z186" s="160">
        <f t="shared" si="53"/>
        <v>0</v>
      </c>
    </row>
  </sheetData>
  <mergeCells count="65"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  <mergeCell ref="A88:Z88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7:Z87"/>
    <mergeCell ref="A89:Z89"/>
    <mergeCell ref="B90:C90"/>
    <mergeCell ref="D90:E90"/>
    <mergeCell ref="F90:H90"/>
    <mergeCell ref="I90:J90"/>
    <mergeCell ref="K90:L90"/>
    <mergeCell ref="M90:O90"/>
    <mergeCell ref="P90:Q90"/>
    <mergeCell ref="R90:T90"/>
    <mergeCell ref="V90:W90"/>
    <mergeCell ref="P127:Q127"/>
    <mergeCell ref="R127:T127"/>
    <mergeCell ref="V127:W127"/>
    <mergeCell ref="Z127:Z128"/>
    <mergeCell ref="Z90:Z91"/>
    <mergeCell ref="A124:Z124"/>
    <mergeCell ref="A125:Z125"/>
    <mergeCell ref="A126:Z126"/>
    <mergeCell ref="B127:C127"/>
    <mergeCell ref="D127:E127"/>
    <mergeCell ref="F127:H127"/>
    <mergeCell ref="I127:J127"/>
    <mergeCell ref="K127:L127"/>
    <mergeCell ref="M127:O127"/>
    <mergeCell ref="A165:Z165"/>
    <mergeCell ref="A166:Z166"/>
    <mergeCell ref="A167:Z167"/>
    <mergeCell ref="B168:C168"/>
    <mergeCell ref="D168:E168"/>
    <mergeCell ref="F168:H168"/>
    <mergeCell ref="I168:J168"/>
    <mergeCell ref="K168:L168"/>
    <mergeCell ref="M168:O168"/>
    <mergeCell ref="P168:Q168"/>
    <mergeCell ref="R168:T168"/>
    <mergeCell ref="V168:W168"/>
    <mergeCell ref="Z168:Z16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RowHeight="19.5"/>
  <cols>
    <col min="1" max="1" width="6" style="233" customWidth="1"/>
    <col min="2" max="2" width="8.7109375" style="233" customWidth="1"/>
    <col min="3" max="6" width="9.140625" style="234"/>
    <col min="7" max="7" width="9.28515625" style="234" customWidth="1"/>
    <col min="8" max="22" width="9.140625" style="234"/>
    <col min="23" max="23" width="9.140625" style="235"/>
    <col min="24" max="24" width="9.140625" style="231"/>
    <col min="25" max="25" width="9.140625" style="232"/>
    <col min="26" max="16384" width="9.140625" style="233"/>
  </cols>
  <sheetData>
    <row r="1" spans="1:26">
      <c r="A1" s="534" t="s">
        <v>291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</row>
    <row r="2" spans="1:26">
      <c r="A2" s="534" t="s">
        <v>198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</row>
    <row r="3" spans="1:26">
      <c r="A3" s="534" t="s">
        <v>292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</row>
    <row r="4" spans="1:26">
      <c r="A4" s="534" t="s">
        <v>293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  <c r="T4" s="534"/>
      <c r="U4" s="534"/>
      <c r="V4" s="534"/>
      <c r="W4" s="534"/>
    </row>
    <row r="6" spans="1:26">
      <c r="A6" s="236"/>
      <c r="B6" s="237"/>
      <c r="C6" s="238" t="s">
        <v>212</v>
      </c>
      <c r="D6" s="527" t="s">
        <v>201</v>
      </c>
      <c r="E6" s="528"/>
      <c r="F6" s="527" t="s">
        <v>202</v>
      </c>
      <c r="G6" s="528"/>
      <c r="H6" s="527" t="s">
        <v>203</v>
      </c>
      <c r="I6" s="528"/>
      <c r="J6" s="527" t="s">
        <v>204</v>
      </c>
      <c r="K6" s="528"/>
      <c r="L6" s="527" t="s">
        <v>205</v>
      </c>
      <c r="M6" s="528"/>
      <c r="N6" s="527" t="s">
        <v>206</v>
      </c>
      <c r="O6" s="529"/>
      <c r="P6" s="527" t="s">
        <v>207</v>
      </c>
      <c r="Q6" s="528"/>
      <c r="R6" s="527" t="s">
        <v>208</v>
      </c>
      <c r="S6" s="529"/>
      <c r="T6" s="238" t="s">
        <v>294</v>
      </c>
      <c r="U6" s="238" t="s">
        <v>210</v>
      </c>
      <c r="V6" s="238" t="s">
        <v>211</v>
      </c>
      <c r="W6" s="530" t="s">
        <v>55</v>
      </c>
    </row>
    <row r="7" spans="1:26">
      <c r="A7" s="239"/>
      <c r="B7" s="240"/>
      <c r="C7" s="238" t="s">
        <v>237</v>
      </c>
      <c r="D7" s="241" t="s">
        <v>214</v>
      </c>
      <c r="E7" s="242" t="s">
        <v>215</v>
      </c>
      <c r="F7" s="238" t="s">
        <v>216</v>
      </c>
      <c r="G7" s="238" t="s">
        <v>217</v>
      </c>
      <c r="H7" s="238" t="s">
        <v>218</v>
      </c>
      <c r="I7" s="238" t="s">
        <v>219</v>
      </c>
      <c r="J7" s="238" t="s">
        <v>221</v>
      </c>
      <c r="K7" s="238" t="s">
        <v>222</v>
      </c>
      <c r="L7" s="238" t="s">
        <v>223</v>
      </c>
      <c r="M7" s="238" t="s">
        <v>224</v>
      </c>
      <c r="N7" s="243" t="s">
        <v>225</v>
      </c>
      <c r="O7" s="238" t="s">
        <v>226</v>
      </c>
      <c r="P7" s="238" t="s">
        <v>228</v>
      </c>
      <c r="Q7" s="238" t="s">
        <v>229</v>
      </c>
      <c r="R7" s="238" t="s">
        <v>230</v>
      </c>
      <c r="S7" s="238" t="s">
        <v>231</v>
      </c>
      <c r="T7" s="238" t="s">
        <v>295</v>
      </c>
      <c r="U7" s="238" t="s">
        <v>234</v>
      </c>
      <c r="V7" s="238" t="s">
        <v>236</v>
      </c>
      <c r="W7" s="531"/>
    </row>
    <row r="8" spans="1:26">
      <c r="A8" s="244" t="s">
        <v>193</v>
      </c>
      <c r="B8" s="245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7"/>
    </row>
    <row r="9" spans="1:26">
      <c r="A9" s="244"/>
      <c r="B9" s="245" t="s">
        <v>296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>
        <f>SUM(C9:V9)</f>
        <v>0</v>
      </c>
    </row>
    <row r="10" spans="1:26">
      <c r="A10" s="244"/>
      <c r="B10" s="245" t="s">
        <v>297</v>
      </c>
      <c r="C10" s="246">
        <v>0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7">
        <f t="shared" ref="W10:W16" si="0">SUM(C10:V10)</f>
        <v>0</v>
      </c>
    </row>
    <row r="11" spans="1:26">
      <c r="A11" s="244"/>
      <c r="B11" s="245" t="s">
        <v>298</v>
      </c>
      <c r="C11" s="246">
        <v>0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7">
        <f t="shared" si="0"/>
        <v>0</v>
      </c>
    </row>
    <row r="12" spans="1:26">
      <c r="A12" s="244"/>
      <c r="B12" s="245" t="s">
        <v>299</v>
      </c>
      <c r="C12" s="246">
        <v>0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7">
        <f t="shared" si="0"/>
        <v>0</v>
      </c>
    </row>
    <row r="13" spans="1:26">
      <c r="A13" s="244"/>
      <c r="B13" s="245" t="s">
        <v>300</v>
      </c>
      <c r="C13" s="246">
        <v>0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7">
        <f t="shared" si="0"/>
        <v>0</v>
      </c>
    </row>
    <row r="14" spans="1:26">
      <c r="A14" s="248"/>
      <c r="B14" s="245" t="s">
        <v>301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7">
        <f t="shared" si="0"/>
        <v>0</v>
      </c>
    </row>
    <row r="15" spans="1:26" s="255" customFormat="1" ht="18.75">
      <c r="A15" s="249"/>
      <c r="B15" s="250" t="s">
        <v>238</v>
      </c>
      <c r="C15" s="251">
        <f>SUM(C9:C14)</f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2">
        <f>SUM(W9:W14)</f>
        <v>0</v>
      </c>
      <c r="X15" s="253"/>
      <c r="Y15" s="254"/>
    </row>
    <row r="16" spans="1:26" s="255" customFormat="1" thickBot="1">
      <c r="A16" s="256"/>
      <c r="B16" s="257" t="s">
        <v>302</v>
      </c>
      <c r="C16" s="258">
        <f>0</f>
        <v>0</v>
      </c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9">
        <f t="shared" si="0"/>
        <v>0</v>
      </c>
      <c r="X16" s="253"/>
      <c r="Y16" s="254"/>
      <c r="Z16" s="260"/>
    </row>
    <row r="17" spans="1:26" ht="20.25" thickTop="1">
      <c r="A17" s="261" t="s">
        <v>133</v>
      </c>
      <c r="B17" s="262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4"/>
    </row>
    <row r="18" spans="1:26">
      <c r="A18" s="261"/>
      <c r="B18" s="262" t="s">
        <v>303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47">
        <f t="shared" ref="W18:W24" si="1">SUM(C18:V18)</f>
        <v>0</v>
      </c>
      <c r="Y18" s="265"/>
    </row>
    <row r="19" spans="1:26">
      <c r="A19" s="248"/>
      <c r="B19" s="245" t="s">
        <v>304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7">
        <f t="shared" si="1"/>
        <v>0</v>
      </c>
    </row>
    <row r="20" spans="1:26">
      <c r="A20" s="248"/>
      <c r="B20" s="245" t="s">
        <v>187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7">
        <f t="shared" si="1"/>
        <v>0</v>
      </c>
    </row>
    <row r="21" spans="1:26">
      <c r="A21" s="248"/>
      <c r="B21" s="245" t="s">
        <v>167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7">
        <f t="shared" si="1"/>
        <v>0</v>
      </c>
    </row>
    <row r="22" spans="1:26">
      <c r="A22" s="248"/>
      <c r="B22" s="245" t="s">
        <v>188</v>
      </c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7">
        <f t="shared" si="1"/>
        <v>0</v>
      </c>
    </row>
    <row r="23" spans="1:26" s="255" customFormat="1" ht="18.75">
      <c r="A23" s="249"/>
      <c r="B23" s="250" t="s">
        <v>238</v>
      </c>
      <c r="C23" s="251"/>
      <c r="D23" s="251">
        <f>SUM(D18:D22)</f>
        <v>0</v>
      </c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2">
        <f t="shared" si="1"/>
        <v>0</v>
      </c>
      <c r="X23" s="253"/>
      <c r="Y23" s="254"/>
    </row>
    <row r="24" spans="1:26" s="255" customFormat="1" thickBot="1">
      <c r="A24" s="256"/>
      <c r="B24" s="257" t="s">
        <v>302</v>
      </c>
      <c r="C24" s="258"/>
      <c r="D24" s="258">
        <f>0</f>
        <v>0</v>
      </c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9">
        <f t="shared" si="1"/>
        <v>0</v>
      </c>
      <c r="X24" s="253"/>
      <c r="Y24" s="254"/>
      <c r="Z24" s="260"/>
    </row>
    <row r="25" spans="1:26" ht="20.25" thickTop="1">
      <c r="A25" s="266" t="s">
        <v>134</v>
      </c>
      <c r="B25" s="267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9"/>
    </row>
    <row r="26" spans="1:26">
      <c r="A26" s="270"/>
      <c r="B26" s="262" t="s">
        <v>305</v>
      </c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52">
        <f>SUM(C26:V26)</f>
        <v>0</v>
      </c>
    </row>
    <row r="27" spans="1:26">
      <c r="A27" s="270"/>
      <c r="B27" s="245" t="s">
        <v>306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52">
        <f t="shared" ref="W27:W34" si="2">SUM(C27:V27)</f>
        <v>0</v>
      </c>
    </row>
    <row r="28" spans="1:26">
      <c r="A28" s="270"/>
      <c r="B28" s="245" t="s">
        <v>307</v>
      </c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52">
        <f t="shared" si="2"/>
        <v>0</v>
      </c>
    </row>
    <row r="29" spans="1:26">
      <c r="A29" s="270"/>
      <c r="B29" s="245" t="s">
        <v>308</v>
      </c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52">
        <f t="shared" si="2"/>
        <v>0</v>
      </c>
    </row>
    <row r="30" spans="1:26">
      <c r="A30" s="270"/>
      <c r="B30" s="245" t="s">
        <v>309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52">
        <f t="shared" si="2"/>
        <v>0</v>
      </c>
    </row>
    <row r="31" spans="1:26">
      <c r="A31" s="270"/>
      <c r="B31" s="245" t="s">
        <v>310</v>
      </c>
      <c r="C31" s="263"/>
      <c r="D31" s="263"/>
      <c r="E31" s="263"/>
      <c r="F31" s="263"/>
      <c r="G31" s="263"/>
      <c r="H31" s="263">
        <v>0</v>
      </c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52">
        <f t="shared" si="2"/>
        <v>0</v>
      </c>
    </row>
    <row r="32" spans="1:26">
      <c r="A32" s="270"/>
      <c r="B32" s="262" t="s">
        <v>311</v>
      </c>
      <c r="C32" s="263"/>
      <c r="D32" s="263">
        <v>0</v>
      </c>
      <c r="E32" s="263">
        <v>0</v>
      </c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52">
        <f t="shared" si="2"/>
        <v>0</v>
      </c>
    </row>
    <row r="33" spans="1:26">
      <c r="A33" s="270"/>
      <c r="B33" s="262" t="s">
        <v>312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52">
        <f t="shared" si="2"/>
        <v>0</v>
      </c>
    </row>
    <row r="34" spans="1:26">
      <c r="A34" s="270"/>
      <c r="B34" s="262" t="s">
        <v>313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52">
        <f t="shared" si="2"/>
        <v>0</v>
      </c>
    </row>
    <row r="35" spans="1:26" s="255" customFormat="1" ht="18.75">
      <c r="A35" s="249"/>
      <c r="B35" s="250" t="s">
        <v>238</v>
      </c>
      <c r="C35" s="251"/>
      <c r="D35" s="251">
        <f>SUM(D26:D34)</f>
        <v>0</v>
      </c>
      <c r="E35" s="251">
        <f>SUM(E26:E34)</f>
        <v>0</v>
      </c>
      <c r="F35" s="251">
        <f t="shared" ref="F35:N35" si="3">SUM(F26:F34)</f>
        <v>0</v>
      </c>
      <c r="G35" s="251">
        <f t="shared" si="3"/>
        <v>0</v>
      </c>
      <c r="H35" s="251">
        <f t="shared" si="3"/>
        <v>0</v>
      </c>
      <c r="I35" s="251">
        <f t="shared" si="3"/>
        <v>0</v>
      </c>
      <c r="J35" s="251">
        <f t="shared" si="3"/>
        <v>0</v>
      </c>
      <c r="K35" s="251">
        <f t="shared" si="3"/>
        <v>0</v>
      </c>
      <c r="L35" s="251">
        <f t="shared" si="3"/>
        <v>0</v>
      </c>
      <c r="M35" s="251">
        <f t="shared" si="3"/>
        <v>0</v>
      </c>
      <c r="N35" s="251">
        <f t="shared" si="3"/>
        <v>0</v>
      </c>
      <c r="O35" s="251"/>
      <c r="P35" s="251"/>
      <c r="Q35" s="251"/>
      <c r="R35" s="251"/>
      <c r="S35" s="251"/>
      <c r="T35" s="251"/>
      <c r="U35" s="251"/>
      <c r="V35" s="251"/>
      <c r="W35" s="252">
        <f>SUM(C35:V35)</f>
        <v>0</v>
      </c>
      <c r="X35" s="253"/>
      <c r="Y35" s="254"/>
    </row>
    <row r="36" spans="1:26" s="255" customFormat="1" thickBot="1">
      <c r="A36" s="256"/>
      <c r="B36" s="257" t="s">
        <v>302</v>
      </c>
      <c r="C36" s="258"/>
      <c r="D36" s="258"/>
      <c r="E36" s="258"/>
      <c r="F36" s="258"/>
      <c r="G36" s="258"/>
      <c r="H36" s="258">
        <v>0</v>
      </c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9">
        <f>SUM(C36:V36)</f>
        <v>0</v>
      </c>
      <c r="X36" s="253"/>
      <c r="Y36" s="254"/>
      <c r="Z36" s="260"/>
    </row>
    <row r="37" spans="1:26" s="276" customFormat="1" ht="20.25" thickTop="1">
      <c r="A37" s="271" t="s">
        <v>135</v>
      </c>
      <c r="B37" s="272"/>
      <c r="C37" s="273"/>
      <c r="D37" s="273"/>
      <c r="E37" s="273"/>
      <c r="F37" s="273"/>
      <c r="G37" s="273"/>
      <c r="H37" s="273" t="s">
        <v>273</v>
      </c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52">
        <f t="shared" ref="W37:W44" si="4">SUM(C37:V37)</f>
        <v>0</v>
      </c>
      <c r="X37" s="274"/>
      <c r="Y37" s="275"/>
    </row>
    <row r="38" spans="1:26" s="276" customFormat="1">
      <c r="A38" s="277"/>
      <c r="B38" s="278" t="s">
        <v>314</v>
      </c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52">
        <f t="shared" si="4"/>
        <v>0</v>
      </c>
      <c r="X38" s="274"/>
      <c r="Y38" s="275"/>
    </row>
    <row r="39" spans="1:26" s="276" customFormat="1">
      <c r="A39" s="277"/>
      <c r="B39" s="278" t="s">
        <v>315</v>
      </c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52">
        <f t="shared" si="4"/>
        <v>0</v>
      </c>
      <c r="X39" s="274"/>
      <c r="Y39" s="275"/>
    </row>
    <row r="40" spans="1:26" s="276" customFormat="1">
      <c r="A40" s="277"/>
      <c r="B40" s="278" t="s">
        <v>316</v>
      </c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52">
        <f t="shared" si="4"/>
        <v>0</v>
      </c>
      <c r="X40" s="274"/>
      <c r="Y40" s="275"/>
    </row>
    <row r="41" spans="1:26" s="276" customFormat="1">
      <c r="A41" s="277"/>
      <c r="B41" s="278" t="s">
        <v>317</v>
      </c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52">
        <f t="shared" si="4"/>
        <v>0</v>
      </c>
      <c r="X41" s="274"/>
      <c r="Y41" s="275"/>
    </row>
    <row r="42" spans="1:26" s="276" customFormat="1">
      <c r="A42" s="277"/>
      <c r="B42" s="278" t="s">
        <v>318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52">
        <f t="shared" si="4"/>
        <v>0</v>
      </c>
      <c r="X42" s="274"/>
      <c r="Y42" s="275"/>
    </row>
    <row r="43" spans="1:26" s="276" customFormat="1">
      <c r="A43" s="277"/>
      <c r="B43" s="278" t="s">
        <v>319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52">
        <f t="shared" si="4"/>
        <v>0</v>
      </c>
      <c r="X43" s="274"/>
      <c r="Y43" s="275"/>
    </row>
    <row r="44" spans="1:26" s="285" customFormat="1" ht="18.75">
      <c r="A44" s="280"/>
      <c r="B44" s="281" t="s">
        <v>238</v>
      </c>
      <c r="C44" s="282"/>
      <c r="D44" s="282">
        <f>SUM(D38:D43)</f>
        <v>0</v>
      </c>
      <c r="E44" s="282">
        <f>SUM(E38:E43)</f>
        <v>0</v>
      </c>
      <c r="F44" s="282"/>
      <c r="G44" s="282"/>
      <c r="H44" s="282"/>
      <c r="I44" s="282"/>
      <c r="J44" s="282"/>
      <c r="K44" s="282"/>
      <c r="L44" s="282"/>
      <c r="M44" s="282"/>
      <c r="N44" s="282">
        <f>SUM(N38:N43)</f>
        <v>0</v>
      </c>
      <c r="O44" s="282"/>
      <c r="P44" s="282"/>
      <c r="Q44" s="282"/>
      <c r="R44" s="282"/>
      <c r="S44" s="282"/>
      <c r="T44" s="282"/>
      <c r="U44" s="282"/>
      <c r="V44" s="282"/>
      <c r="W44" s="252">
        <f t="shared" si="4"/>
        <v>0</v>
      </c>
      <c r="X44" s="283"/>
      <c r="Y44" s="284"/>
    </row>
    <row r="45" spans="1:26" s="285" customFormat="1" thickBot="1">
      <c r="A45" s="286"/>
      <c r="B45" s="287" t="s">
        <v>302</v>
      </c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59">
        <f>SUM(C45:V45)</f>
        <v>0</v>
      </c>
      <c r="X45" s="289"/>
      <c r="Y45" s="284"/>
      <c r="Z45" s="260"/>
    </row>
    <row r="46" spans="1:26" ht="20.25" thickTop="1">
      <c r="A46" s="271" t="s">
        <v>136</v>
      </c>
      <c r="B46" s="272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90"/>
    </row>
    <row r="47" spans="1:26">
      <c r="A47" s="271"/>
      <c r="B47" s="272" t="s">
        <v>320</v>
      </c>
      <c r="C47" s="273"/>
      <c r="D47" s="273"/>
      <c r="E47" s="273"/>
      <c r="F47" s="291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90">
        <f>SUM(C47:V47)</f>
        <v>0</v>
      </c>
      <c r="Y47" s="265"/>
    </row>
    <row r="48" spans="1:26">
      <c r="A48" s="271"/>
      <c r="B48" s="272" t="s">
        <v>321</v>
      </c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90">
        <f>SUM(C48:V48)</f>
        <v>0</v>
      </c>
    </row>
    <row r="49" spans="1:28">
      <c r="A49" s="271"/>
      <c r="B49" s="272" t="s">
        <v>322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90">
        <f>SUM(C49:V49)</f>
        <v>0</v>
      </c>
    </row>
    <row r="50" spans="1:28">
      <c r="A50" s="277"/>
      <c r="B50" s="278" t="s">
        <v>323</v>
      </c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92">
        <f>SUM(C50:V50)</f>
        <v>0</v>
      </c>
      <c r="AB50" s="293"/>
    </row>
    <row r="51" spans="1:28" s="300" customFormat="1" ht="18.75">
      <c r="A51" s="294"/>
      <c r="B51" s="295" t="s">
        <v>238</v>
      </c>
      <c r="C51" s="296"/>
      <c r="D51" s="296">
        <f>SUM(D47:D50)</f>
        <v>0</v>
      </c>
      <c r="E51" s="296">
        <f>SUM(E47:E50)</f>
        <v>0</v>
      </c>
      <c r="F51" s="296"/>
      <c r="G51" s="296">
        <f>SUM(G47:G50)</f>
        <v>0</v>
      </c>
      <c r="H51" s="296">
        <f>SUM(H47:H50)</f>
        <v>0</v>
      </c>
      <c r="I51" s="296">
        <f>SUM(I47:I50)</f>
        <v>0</v>
      </c>
      <c r="J51" s="296">
        <f>SUM(J47:J50)</f>
        <v>0</v>
      </c>
      <c r="K51" s="296">
        <f>SUM(K47:K50)</f>
        <v>0</v>
      </c>
      <c r="L51" s="296"/>
      <c r="M51" s="296"/>
      <c r="N51" s="296">
        <f t="shared" ref="N51:S51" si="5">SUM(N47:N50)</f>
        <v>0</v>
      </c>
      <c r="O51" s="296">
        <f t="shared" si="5"/>
        <v>0</v>
      </c>
      <c r="P51" s="296">
        <f t="shared" si="5"/>
        <v>0</v>
      </c>
      <c r="Q51" s="296">
        <f t="shared" si="5"/>
        <v>0</v>
      </c>
      <c r="R51" s="296">
        <f t="shared" si="5"/>
        <v>0</v>
      </c>
      <c r="S51" s="296">
        <f t="shared" si="5"/>
        <v>0</v>
      </c>
      <c r="T51" s="296"/>
      <c r="U51" s="296"/>
      <c r="V51" s="296">
        <f>SUM(V47:V50)</f>
        <v>0</v>
      </c>
      <c r="W51" s="297">
        <f>SUM(W47:W50)</f>
        <v>0</v>
      </c>
      <c r="X51" s="298"/>
      <c r="Y51" s="299"/>
    </row>
    <row r="52" spans="1:28" s="300" customFormat="1" thickBot="1">
      <c r="A52" s="301"/>
      <c r="B52" s="302" t="s">
        <v>302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4"/>
      <c r="X52" s="298"/>
      <c r="Y52" s="299"/>
      <c r="Z52" s="260"/>
      <c r="AA52" s="305"/>
    </row>
    <row r="53" spans="1:28" s="308" customFormat="1" ht="20.25" thickTop="1">
      <c r="A53" s="271" t="s">
        <v>137</v>
      </c>
      <c r="B53" s="272"/>
      <c r="C53" s="273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90"/>
      <c r="X53" s="306"/>
      <c r="Y53" s="307"/>
      <c r="Z53" s="233"/>
    </row>
    <row r="54" spans="1:28" s="308" customFormat="1">
      <c r="A54" s="271"/>
      <c r="B54" s="272" t="s">
        <v>324</v>
      </c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90">
        <f t="shared" ref="W54:W66" si="6">SUM(C54:V54)</f>
        <v>0</v>
      </c>
      <c r="X54" s="306"/>
      <c r="Y54" s="307"/>
      <c r="Z54" s="233"/>
    </row>
    <row r="55" spans="1:28" s="308" customFormat="1">
      <c r="A55" s="271"/>
      <c r="B55" s="272" t="s">
        <v>325</v>
      </c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90"/>
      <c r="X55" s="306"/>
      <c r="Y55" s="307"/>
    </row>
    <row r="56" spans="1:28" s="308" customFormat="1">
      <c r="A56" s="271"/>
      <c r="B56" s="272" t="s">
        <v>326</v>
      </c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90">
        <f t="shared" si="6"/>
        <v>0</v>
      </c>
      <c r="X56" s="306"/>
      <c r="Y56" s="309"/>
    </row>
    <row r="57" spans="1:28" s="308" customFormat="1">
      <c r="A57" s="271"/>
      <c r="B57" s="272" t="s">
        <v>327</v>
      </c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90"/>
      <c r="X57" s="306"/>
      <c r="Y57" s="309"/>
    </row>
    <row r="58" spans="1:28" s="308" customFormat="1">
      <c r="A58" s="271"/>
      <c r="B58" s="272" t="s">
        <v>328</v>
      </c>
      <c r="C58" s="273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90">
        <f t="shared" si="6"/>
        <v>0</v>
      </c>
      <c r="X58" s="306"/>
      <c r="Y58" s="309"/>
    </row>
    <row r="59" spans="1:28" s="308" customFormat="1">
      <c r="A59" s="271"/>
      <c r="B59" s="272" t="s">
        <v>329</v>
      </c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90">
        <f t="shared" si="6"/>
        <v>0</v>
      </c>
      <c r="X59" s="306"/>
      <c r="Y59" s="309"/>
    </row>
    <row r="60" spans="1:28" s="308" customFormat="1">
      <c r="A60" s="271"/>
      <c r="B60" s="272" t="s">
        <v>330</v>
      </c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90">
        <f t="shared" si="6"/>
        <v>0</v>
      </c>
      <c r="X60" s="306"/>
      <c r="Y60" s="309"/>
    </row>
    <row r="61" spans="1:28" s="308" customFormat="1">
      <c r="A61" s="271"/>
      <c r="B61" s="272" t="s">
        <v>331</v>
      </c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90">
        <f t="shared" si="6"/>
        <v>0</v>
      </c>
      <c r="X61" s="306"/>
      <c r="Y61" s="309"/>
    </row>
    <row r="62" spans="1:28" s="308" customFormat="1">
      <c r="A62" s="271"/>
      <c r="B62" s="272" t="s">
        <v>332</v>
      </c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90">
        <f t="shared" si="6"/>
        <v>0</v>
      </c>
      <c r="X62" s="306"/>
      <c r="Y62" s="309"/>
    </row>
    <row r="63" spans="1:28" s="308" customFormat="1">
      <c r="A63" s="271"/>
      <c r="B63" s="272" t="s">
        <v>333</v>
      </c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90">
        <f t="shared" si="6"/>
        <v>0</v>
      </c>
      <c r="X63" s="306"/>
      <c r="Y63" s="309"/>
    </row>
    <row r="64" spans="1:28" s="308" customFormat="1">
      <c r="A64" s="271"/>
      <c r="B64" s="272" t="s">
        <v>334</v>
      </c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90">
        <f t="shared" si="6"/>
        <v>0</v>
      </c>
      <c r="X64" s="306"/>
      <c r="Y64" s="309"/>
    </row>
    <row r="65" spans="1:27" s="308" customFormat="1">
      <c r="A65" s="271"/>
      <c r="B65" s="272" t="s">
        <v>335</v>
      </c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90">
        <f t="shared" si="6"/>
        <v>0</v>
      </c>
      <c r="X65" s="306"/>
      <c r="Y65" s="309"/>
    </row>
    <row r="66" spans="1:27" s="308" customFormat="1">
      <c r="A66" s="271"/>
      <c r="B66" s="272" t="s">
        <v>336</v>
      </c>
      <c r="C66" s="273"/>
      <c r="D66" s="273"/>
      <c r="E66" s="273"/>
      <c r="F66" s="273"/>
      <c r="G66" s="273"/>
      <c r="H66" s="273">
        <v>0</v>
      </c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>
        <v>0</v>
      </c>
      <c r="W66" s="290">
        <f t="shared" si="6"/>
        <v>0</v>
      </c>
      <c r="X66" s="306"/>
      <c r="Y66" s="309"/>
    </row>
    <row r="67" spans="1:27" s="313" customFormat="1" ht="18.75">
      <c r="A67" s="280"/>
      <c r="B67" s="281" t="s">
        <v>238</v>
      </c>
      <c r="C67" s="282"/>
      <c r="D67" s="282">
        <f>SUM(D54:D64)</f>
        <v>0</v>
      </c>
      <c r="E67" s="282">
        <f t="shared" ref="E67:M67" si="7">SUM(E54:E66)</f>
        <v>0</v>
      </c>
      <c r="F67" s="282">
        <f t="shared" si="7"/>
        <v>0</v>
      </c>
      <c r="G67" s="282">
        <f t="shared" si="7"/>
        <v>0</v>
      </c>
      <c r="H67" s="282">
        <f t="shared" si="7"/>
        <v>0</v>
      </c>
      <c r="I67" s="282">
        <f t="shared" si="7"/>
        <v>0</v>
      </c>
      <c r="J67" s="282">
        <f t="shared" si="7"/>
        <v>0</v>
      </c>
      <c r="K67" s="282">
        <f t="shared" si="7"/>
        <v>0</v>
      </c>
      <c r="L67" s="282">
        <f t="shared" si="7"/>
        <v>0</v>
      </c>
      <c r="M67" s="282">
        <f t="shared" si="7"/>
        <v>0</v>
      </c>
      <c r="N67" s="282">
        <f>SUM(N54:N66)</f>
        <v>0</v>
      </c>
      <c r="O67" s="282"/>
      <c r="P67" s="282"/>
      <c r="Q67" s="282"/>
      <c r="R67" s="282"/>
      <c r="S67" s="282">
        <f>SUM(S54:S65)</f>
        <v>0</v>
      </c>
      <c r="T67" s="282"/>
      <c r="U67" s="282">
        <f>SUM(U53:U66)</f>
        <v>0</v>
      </c>
      <c r="V67" s="282">
        <f>SUM(V53:V66)</f>
        <v>0</v>
      </c>
      <c r="W67" s="310">
        <f>SUM(C67:V67)</f>
        <v>0</v>
      </c>
      <c r="X67" s="311"/>
      <c r="Y67" s="312"/>
    </row>
    <row r="68" spans="1:27" s="313" customFormat="1" thickBot="1">
      <c r="A68" s="286"/>
      <c r="B68" s="287" t="s">
        <v>302</v>
      </c>
      <c r="C68" s="288"/>
      <c r="D68" s="288">
        <f>0</f>
        <v>0</v>
      </c>
      <c r="E68" s="288">
        <f>0</f>
        <v>0</v>
      </c>
      <c r="F68" s="288"/>
      <c r="G68" s="288"/>
      <c r="H68" s="288"/>
      <c r="I68" s="288"/>
      <c r="J68" s="288"/>
      <c r="K68" s="288"/>
      <c r="L68" s="288">
        <v>0</v>
      </c>
      <c r="M68" s="288"/>
      <c r="N68" s="288"/>
      <c r="O68" s="288"/>
      <c r="P68" s="288"/>
      <c r="Q68" s="288"/>
      <c r="R68" s="288"/>
      <c r="S68" s="288">
        <v>0</v>
      </c>
      <c r="T68" s="288"/>
      <c r="U68" s="288"/>
      <c r="V68" s="288">
        <v>0</v>
      </c>
      <c r="W68" s="314">
        <f>SUM(C68:V68)</f>
        <v>0</v>
      </c>
      <c r="X68" s="311" t="s">
        <v>337</v>
      </c>
      <c r="Y68" s="312"/>
      <c r="Z68" s="260"/>
      <c r="AA68" s="315"/>
    </row>
    <row r="69" spans="1:27" ht="20.25" thickTop="1">
      <c r="A69" s="261" t="s">
        <v>138</v>
      </c>
      <c r="B69" s="262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4"/>
    </row>
    <row r="70" spans="1:27">
      <c r="A70" s="261"/>
      <c r="B70" s="262" t="s">
        <v>338</v>
      </c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4">
        <f>SUM(C70:V70)</f>
        <v>0</v>
      </c>
    </row>
    <row r="71" spans="1:27">
      <c r="A71" s="261"/>
      <c r="B71" s="262" t="s">
        <v>339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4">
        <f>SUM(C71:V71)</f>
        <v>0</v>
      </c>
    </row>
    <row r="72" spans="1:27">
      <c r="A72" s="261"/>
      <c r="B72" s="262" t="s">
        <v>340</v>
      </c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4">
        <f>SUM(C72:V72)</f>
        <v>0</v>
      </c>
    </row>
    <row r="73" spans="1:27">
      <c r="A73" s="261"/>
      <c r="B73" s="262" t="s">
        <v>341</v>
      </c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4">
        <f>SUM(C73:V73)</f>
        <v>0</v>
      </c>
    </row>
    <row r="74" spans="1:27" s="255" customFormat="1" ht="18.75">
      <c r="A74" s="249"/>
      <c r="B74" s="250" t="s">
        <v>238</v>
      </c>
      <c r="C74" s="251">
        <f>SUM(C70:C73)</f>
        <v>0</v>
      </c>
      <c r="D74" s="251">
        <f>SUM(D70:D73)</f>
        <v>0</v>
      </c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>
        <f>SUM(V70:V73)</f>
        <v>0</v>
      </c>
      <c r="W74" s="252">
        <f>SUM(C74:V74)</f>
        <v>0</v>
      </c>
      <c r="X74" s="253"/>
      <c r="Y74" s="254"/>
    </row>
    <row r="75" spans="1:27" s="255" customFormat="1" thickBot="1">
      <c r="A75" s="256"/>
      <c r="B75" s="257" t="s">
        <v>302</v>
      </c>
      <c r="C75" s="258">
        <v>0</v>
      </c>
      <c r="D75" s="258">
        <f>0</f>
        <v>0</v>
      </c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9"/>
      <c r="X75" s="253" t="s">
        <v>342</v>
      </c>
      <c r="Y75" s="254"/>
      <c r="Z75" s="260"/>
      <c r="AA75" s="260"/>
    </row>
    <row r="76" spans="1:27" s="308" customFormat="1" ht="20.25" thickTop="1">
      <c r="A76" s="271" t="s">
        <v>139</v>
      </c>
      <c r="B76" s="272"/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90"/>
      <c r="X76" s="306" t="s">
        <v>343</v>
      </c>
      <c r="Y76" s="309"/>
    </row>
    <row r="77" spans="1:27" s="308" customFormat="1" ht="20.25" thickBot="1">
      <c r="A77" s="271"/>
      <c r="B77" s="272" t="s">
        <v>344</v>
      </c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90">
        <f t="shared" ref="W77:W84" si="8">SUM(C77:V77)</f>
        <v>0</v>
      </c>
      <c r="X77" s="306" t="s">
        <v>55</v>
      </c>
      <c r="Y77" s="316"/>
    </row>
    <row r="78" spans="1:27" s="308" customFormat="1" ht="20.25" thickTop="1">
      <c r="A78" s="271"/>
      <c r="B78" s="272" t="s">
        <v>345</v>
      </c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90">
        <f t="shared" si="8"/>
        <v>0</v>
      </c>
      <c r="X78" s="306"/>
      <c r="Y78" s="309"/>
    </row>
    <row r="79" spans="1:27" s="308" customFormat="1">
      <c r="A79" s="271"/>
      <c r="B79" s="272" t="s">
        <v>346</v>
      </c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90">
        <f t="shared" si="8"/>
        <v>0</v>
      </c>
      <c r="X79" s="306"/>
      <c r="Y79" s="309"/>
    </row>
    <row r="80" spans="1:27" s="308" customFormat="1">
      <c r="A80" s="271"/>
      <c r="B80" s="272" t="s">
        <v>347</v>
      </c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90">
        <f t="shared" si="8"/>
        <v>0</v>
      </c>
      <c r="X80" s="306"/>
      <c r="Y80" s="309"/>
    </row>
    <row r="81" spans="1:27" s="308" customFormat="1">
      <c r="A81" s="271"/>
      <c r="B81" s="272" t="s">
        <v>348</v>
      </c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90"/>
      <c r="X81" s="306"/>
      <c r="Y81" s="309"/>
    </row>
    <row r="82" spans="1:27" s="308" customFormat="1">
      <c r="A82" s="271"/>
      <c r="B82" s="272" t="s">
        <v>349</v>
      </c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90">
        <f t="shared" si="8"/>
        <v>0</v>
      </c>
      <c r="X82" s="306"/>
      <c r="Y82" s="309"/>
    </row>
    <row r="83" spans="1:27" s="313" customFormat="1" ht="18.75">
      <c r="A83" s="280"/>
      <c r="B83" s="281" t="s">
        <v>238</v>
      </c>
      <c r="C83" s="282">
        <f>SUM(C77:C82)</f>
        <v>0</v>
      </c>
      <c r="D83" s="282">
        <f>SUM(D77:D82)</f>
        <v>0</v>
      </c>
      <c r="E83" s="282">
        <f>SUM(E77:E82)</f>
        <v>0</v>
      </c>
      <c r="F83" s="282">
        <f>SUM(F77:F82)</f>
        <v>0</v>
      </c>
      <c r="G83" s="282">
        <f>SUM(G77:G82)</f>
        <v>0</v>
      </c>
      <c r="H83" s="282"/>
      <c r="I83" s="282"/>
      <c r="J83" s="282"/>
      <c r="K83" s="282"/>
      <c r="L83" s="282"/>
      <c r="M83" s="282"/>
      <c r="N83" s="282">
        <f>SUM(N77:N82)</f>
        <v>0</v>
      </c>
      <c r="O83" s="282"/>
      <c r="P83" s="282"/>
      <c r="Q83" s="282"/>
      <c r="R83" s="282"/>
      <c r="S83" s="282"/>
      <c r="T83" s="282"/>
      <c r="U83" s="282"/>
      <c r="V83" s="282"/>
      <c r="W83" s="310">
        <f t="shared" si="8"/>
        <v>0</v>
      </c>
      <c r="X83" s="311"/>
      <c r="Y83" s="312"/>
    </row>
    <row r="84" spans="1:27" s="313" customFormat="1" thickBot="1">
      <c r="A84" s="286"/>
      <c r="B84" s="287" t="s">
        <v>302</v>
      </c>
      <c r="C84" s="288">
        <v>0</v>
      </c>
      <c r="D84" s="288">
        <f>0</f>
        <v>0</v>
      </c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314">
        <f t="shared" si="8"/>
        <v>0</v>
      </c>
      <c r="X84" s="311" t="s">
        <v>350</v>
      </c>
      <c r="Y84" s="312"/>
      <c r="Z84" s="260"/>
      <c r="AA84" s="260"/>
    </row>
    <row r="85" spans="1:27" ht="20.25" thickTop="1">
      <c r="A85" s="261" t="s">
        <v>140</v>
      </c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4">
        <f>SUM(C85:V85)</f>
        <v>0</v>
      </c>
    </row>
    <row r="86" spans="1:27">
      <c r="A86" s="261"/>
      <c r="B86" s="262" t="s">
        <v>351</v>
      </c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4">
        <f>SUM(C86:V86)</f>
        <v>0</v>
      </c>
    </row>
    <row r="87" spans="1:27">
      <c r="A87" s="261"/>
      <c r="B87" s="262" t="s">
        <v>119</v>
      </c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4">
        <f>SUM(C87:V87)</f>
        <v>0</v>
      </c>
    </row>
    <row r="88" spans="1:27" s="255" customFormat="1" ht="18.75">
      <c r="A88" s="249"/>
      <c r="B88" s="250" t="s">
        <v>238</v>
      </c>
      <c r="C88" s="251"/>
      <c r="D88" s="251">
        <f>SUM(D85:D87)</f>
        <v>0</v>
      </c>
      <c r="E88" s="251"/>
      <c r="F88" s="251">
        <f>SUM(F85:F87)</f>
        <v>0</v>
      </c>
      <c r="G88" s="251">
        <f>SUM(G85:G87)</f>
        <v>0</v>
      </c>
      <c r="H88" s="251">
        <f>SUM(H85:H87)</f>
        <v>0</v>
      </c>
      <c r="I88" s="251"/>
      <c r="J88" s="251"/>
      <c r="K88" s="251"/>
      <c r="L88" s="251"/>
      <c r="M88" s="251"/>
      <c r="N88" s="251">
        <v>0</v>
      </c>
      <c r="O88" s="251">
        <f>SUM(O85:O87)</f>
        <v>0</v>
      </c>
      <c r="P88" s="251"/>
      <c r="Q88" s="251">
        <f t="shared" ref="Q88:V88" si="9">SUM(Q85:Q87)</f>
        <v>0</v>
      </c>
      <c r="R88" s="251">
        <f t="shared" si="9"/>
        <v>0</v>
      </c>
      <c r="S88" s="251">
        <f t="shared" si="9"/>
        <v>0</v>
      </c>
      <c r="T88" s="251">
        <f t="shared" si="9"/>
        <v>0</v>
      </c>
      <c r="U88" s="251">
        <f t="shared" si="9"/>
        <v>0</v>
      </c>
      <c r="V88" s="251">
        <f t="shared" si="9"/>
        <v>0</v>
      </c>
      <c r="W88" s="252">
        <f>SUM(C88:V88)</f>
        <v>0</v>
      </c>
      <c r="X88" s="253"/>
      <c r="Y88" s="254"/>
    </row>
    <row r="89" spans="1:27" s="255" customFormat="1" thickBot="1">
      <c r="A89" s="256"/>
      <c r="B89" s="257" t="s">
        <v>302</v>
      </c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>
        <v>0</v>
      </c>
      <c r="O89" s="258"/>
      <c r="P89" s="258"/>
      <c r="Q89" s="258"/>
      <c r="R89" s="258"/>
      <c r="S89" s="258"/>
      <c r="T89" s="258"/>
      <c r="U89" s="258"/>
      <c r="V89" s="258"/>
      <c r="W89" s="259"/>
      <c r="X89" s="253" t="s">
        <v>352</v>
      </c>
      <c r="Y89" s="254"/>
      <c r="Z89" s="260"/>
      <c r="AA89" s="260"/>
    </row>
    <row r="90" spans="1:27" ht="20.25" thickTop="1">
      <c r="A90" s="261" t="s">
        <v>353</v>
      </c>
      <c r="B90" s="262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4"/>
    </row>
    <row r="91" spans="1:27">
      <c r="A91" s="261"/>
      <c r="B91" s="262" t="s">
        <v>354</v>
      </c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4">
        <f>SUM(C91:V91)</f>
        <v>0</v>
      </c>
    </row>
    <row r="92" spans="1:27">
      <c r="A92" s="261"/>
      <c r="B92" s="262" t="s">
        <v>355</v>
      </c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4">
        <f>SUM(C92:V92)</f>
        <v>0</v>
      </c>
    </row>
    <row r="93" spans="1:27">
      <c r="A93" s="261"/>
      <c r="B93" s="262" t="s">
        <v>356</v>
      </c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4">
        <f>SUM(C93:V93)</f>
        <v>0</v>
      </c>
    </row>
    <row r="94" spans="1:27" s="255" customFormat="1" ht="18.75">
      <c r="A94" s="249"/>
      <c r="B94" s="250" t="s">
        <v>238</v>
      </c>
      <c r="C94" s="251"/>
      <c r="D94" s="251">
        <f>SUM(D91:D93)</f>
        <v>0</v>
      </c>
      <c r="E94" s="251"/>
      <c r="F94" s="251">
        <f>SUM(F92:F93)</f>
        <v>0</v>
      </c>
      <c r="G94" s="251"/>
      <c r="H94" s="251">
        <f>SUM(H91:H93)</f>
        <v>0</v>
      </c>
      <c r="I94" s="251">
        <f>SUM(I90:I93)</f>
        <v>0</v>
      </c>
      <c r="J94" s="251">
        <f>SUM(J90:J93)</f>
        <v>0</v>
      </c>
      <c r="K94" s="251"/>
      <c r="L94" s="251"/>
      <c r="M94" s="251"/>
      <c r="N94" s="251">
        <f>SUM(N92:N93)</f>
        <v>0</v>
      </c>
      <c r="O94" s="251">
        <f>SUM(O92:O93)</f>
        <v>0</v>
      </c>
      <c r="P94" s="251"/>
      <c r="Q94" s="251">
        <f>SUM(Q92:Q93)</f>
        <v>0</v>
      </c>
      <c r="R94" s="251">
        <f>SUM(R92:R93)</f>
        <v>0</v>
      </c>
      <c r="S94" s="251">
        <f>SUM(S92:S93)</f>
        <v>0</v>
      </c>
      <c r="T94" s="251"/>
      <c r="U94" s="251"/>
      <c r="V94" s="251"/>
      <c r="W94" s="252">
        <f>SUM(C94:V94)</f>
        <v>0</v>
      </c>
      <c r="X94" s="253"/>
      <c r="Y94" s="254"/>
    </row>
    <row r="95" spans="1:27" s="255" customFormat="1" thickBot="1">
      <c r="A95" s="256"/>
      <c r="B95" s="257" t="s">
        <v>302</v>
      </c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9">
        <f>SUM(C95:V95)</f>
        <v>0</v>
      </c>
      <c r="X95" s="253" t="s">
        <v>11</v>
      </c>
      <c r="Y95" s="254"/>
      <c r="Z95" s="260"/>
      <c r="AA95" s="260"/>
    </row>
    <row r="96" spans="1:27" ht="20.25" thickTop="1">
      <c r="A96" s="261" t="s">
        <v>194</v>
      </c>
      <c r="B96" s="262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4"/>
      <c r="Y96" s="265"/>
    </row>
    <row r="97" spans="1:27">
      <c r="A97" s="261"/>
      <c r="B97" s="262" t="s">
        <v>141</v>
      </c>
      <c r="C97" s="263"/>
      <c r="D97" s="263"/>
      <c r="E97" s="263"/>
      <c r="F97" s="263"/>
      <c r="G97" s="263">
        <v>0</v>
      </c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4">
        <f>SUM(C97:V97)</f>
        <v>0</v>
      </c>
      <c r="Y97" s="265"/>
    </row>
    <row r="98" spans="1:27">
      <c r="A98" s="261"/>
      <c r="B98" s="262" t="s">
        <v>357</v>
      </c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4">
        <f>SUM(C98:V98)</f>
        <v>0</v>
      </c>
      <c r="Y98" s="265"/>
    </row>
    <row r="99" spans="1:27" s="255" customFormat="1" ht="18.75">
      <c r="A99" s="249"/>
      <c r="B99" s="250" t="s">
        <v>238</v>
      </c>
      <c r="C99" s="251"/>
      <c r="D99" s="251">
        <f>SUM(D97:D98)</f>
        <v>0</v>
      </c>
      <c r="E99" s="251">
        <f>SUM(E97:E98)</f>
        <v>0</v>
      </c>
      <c r="F99" s="251">
        <f>SUM(F97:F98)</f>
        <v>0</v>
      </c>
      <c r="G99" s="251">
        <f>SUM(G97:G98)</f>
        <v>0</v>
      </c>
      <c r="H99" s="251">
        <f>H98</f>
        <v>0</v>
      </c>
      <c r="I99" s="251">
        <f>SUM(I97:I98)</f>
        <v>0</v>
      </c>
      <c r="J99" s="251"/>
      <c r="K99" s="251"/>
      <c r="L99" s="251"/>
      <c r="M99" s="251">
        <f>SUM(M98)</f>
        <v>0</v>
      </c>
      <c r="N99" s="251"/>
      <c r="O99" s="251"/>
      <c r="P99" s="251"/>
      <c r="Q99" s="251"/>
      <c r="R99" s="251"/>
      <c r="S99" s="251"/>
      <c r="T99" s="251"/>
      <c r="U99" s="251"/>
      <c r="V99" s="251"/>
      <c r="W99" s="252">
        <f>SUM(C99:V99)</f>
        <v>0</v>
      </c>
      <c r="X99" s="253"/>
      <c r="Y99" s="254"/>
    </row>
    <row r="100" spans="1:27" s="255" customFormat="1" thickBot="1">
      <c r="A100" s="256"/>
      <c r="B100" s="257" t="s">
        <v>302</v>
      </c>
      <c r="C100" s="258"/>
      <c r="D100" s="258">
        <v>0</v>
      </c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9">
        <f>SUM(C100:V100)</f>
        <v>0</v>
      </c>
      <c r="X100" s="253" t="s">
        <v>67</v>
      </c>
      <c r="Y100" s="254"/>
      <c r="Z100" s="260"/>
      <c r="AA100" s="260"/>
    </row>
    <row r="101" spans="1:27" s="320" customFormat="1" ht="21" thickTop="1" thickBot="1">
      <c r="A101" s="532" t="s">
        <v>358</v>
      </c>
      <c r="B101" s="533"/>
      <c r="C101" s="317">
        <f t="shared" ref="C101:V101" si="10">C16+C24+C36+C45+C52+C68+C75+C84+C89+C95+C100</f>
        <v>0</v>
      </c>
      <c r="D101" s="317">
        <f t="shared" si="10"/>
        <v>0</v>
      </c>
      <c r="E101" s="317">
        <f t="shared" si="10"/>
        <v>0</v>
      </c>
      <c r="F101" s="317">
        <f t="shared" si="10"/>
        <v>0</v>
      </c>
      <c r="G101" s="317">
        <f t="shared" si="10"/>
        <v>0</v>
      </c>
      <c r="H101" s="317">
        <f t="shared" si="10"/>
        <v>0</v>
      </c>
      <c r="I101" s="317">
        <f t="shared" si="10"/>
        <v>0</v>
      </c>
      <c r="J101" s="317">
        <f t="shared" si="10"/>
        <v>0</v>
      </c>
      <c r="K101" s="317">
        <f t="shared" si="10"/>
        <v>0</v>
      </c>
      <c r="L101" s="317">
        <f t="shared" si="10"/>
        <v>0</v>
      </c>
      <c r="M101" s="317">
        <f t="shared" si="10"/>
        <v>0</v>
      </c>
      <c r="N101" s="317">
        <f t="shared" si="10"/>
        <v>0</v>
      </c>
      <c r="O101" s="317">
        <f t="shared" si="10"/>
        <v>0</v>
      </c>
      <c r="P101" s="317">
        <f t="shared" si="10"/>
        <v>0</v>
      </c>
      <c r="Q101" s="317">
        <f t="shared" si="10"/>
        <v>0</v>
      </c>
      <c r="R101" s="317">
        <f t="shared" si="10"/>
        <v>0</v>
      </c>
      <c r="S101" s="317">
        <f t="shared" si="10"/>
        <v>0</v>
      </c>
      <c r="T101" s="317">
        <f t="shared" si="10"/>
        <v>0</v>
      </c>
      <c r="U101" s="317">
        <f t="shared" si="10"/>
        <v>0</v>
      </c>
      <c r="V101" s="317">
        <f t="shared" si="10"/>
        <v>0</v>
      </c>
      <c r="W101" s="317">
        <f>W16+W24+W36+W45+W52+W68+W75+W84+W89+W95+W100</f>
        <v>0</v>
      </c>
      <c r="X101" s="318"/>
      <c r="Y101" s="319"/>
    </row>
    <row r="102" spans="1:27" ht="20.25" thickTop="1"/>
    <row r="103" spans="1:27">
      <c r="H103" s="321" t="s">
        <v>359</v>
      </c>
      <c r="L103" s="321" t="s">
        <v>359</v>
      </c>
      <c r="P103" s="321" t="s">
        <v>359</v>
      </c>
    </row>
    <row r="104" spans="1:27" ht="20.25" thickBot="1">
      <c r="B104" s="233" t="s">
        <v>360</v>
      </c>
      <c r="C104" s="322" t="e">
        <f>+C16+C24+C36+#REF!+C45+C52+C68+C75+#REF!+C84+C89+C100</f>
        <v>#REF!</v>
      </c>
      <c r="D104" s="322" t="e">
        <f>+D16+D24+D36+#REF!+D45+D52+D68+D75+#REF!+D84+D89+D100</f>
        <v>#REF!</v>
      </c>
      <c r="E104" s="322" t="e">
        <f>+E16+E24+E36+#REF!+E45+E52+E68+E75+#REF!+E84+E89+E100</f>
        <v>#REF!</v>
      </c>
      <c r="F104" s="322"/>
      <c r="G104" s="322"/>
      <c r="H104" s="321" t="s">
        <v>361</v>
      </c>
      <c r="I104" s="322"/>
      <c r="J104" s="322"/>
      <c r="K104" s="322"/>
      <c r="L104" s="321" t="s">
        <v>362</v>
      </c>
      <c r="M104" s="322"/>
      <c r="N104" s="322"/>
      <c r="O104" s="321" t="s">
        <v>363</v>
      </c>
      <c r="P104" s="322"/>
      <c r="Q104" s="322"/>
      <c r="R104" s="322"/>
      <c r="S104" s="322" t="e">
        <f>+S16+S24+S36+#REF!+S45+S52+S68+S75+#REF!+S84+S89+S100</f>
        <v>#REF!</v>
      </c>
      <c r="T104" s="322" t="e">
        <f>+T16+T24+T36+#REF!+T45+T52+T68+T75+#REF!+T84+T89+T100</f>
        <v>#REF!</v>
      </c>
      <c r="U104" s="322"/>
      <c r="V104" s="322" t="e">
        <f>+V16+V24+V36+#REF!+V45+V52+V68+V75+#REF!+V84+V89+V100</f>
        <v>#REF!</v>
      </c>
      <c r="W104" s="323" t="e">
        <f>+W16+W24+W36+#REF!+W45+W52+W68+W75+#REF!+W84+W89+W100</f>
        <v>#REF!</v>
      </c>
    </row>
    <row r="105" spans="1:27" ht="20.25" thickTop="1">
      <c r="H105" s="321" t="s">
        <v>364</v>
      </c>
      <c r="L105" s="321" t="s">
        <v>365</v>
      </c>
      <c r="O105" s="321" t="s">
        <v>366</v>
      </c>
      <c r="T105" s="321" t="s">
        <v>367</v>
      </c>
      <c r="W105" s="324">
        <f>+[1]รายงานรับจ่ายเงินสด!B70</f>
        <v>12603701.57</v>
      </c>
    </row>
    <row r="106" spans="1:27">
      <c r="O106" s="234" t="s">
        <v>368</v>
      </c>
      <c r="T106" s="325" t="s">
        <v>369</v>
      </c>
      <c r="W106" s="326" t="e">
        <f>+[1]รายงานรับจ่ายเงินสด!#REF!</f>
        <v>#REF!</v>
      </c>
    </row>
    <row r="107" spans="1:27">
      <c r="T107" s="327" t="s">
        <v>292</v>
      </c>
      <c r="W107" s="324" t="e">
        <f>+W105-W106</f>
        <v>#REF!</v>
      </c>
    </row>
    <row r="108" spans="1:27">
      <c r="T108" s="328" t="s">
        <v>174</v>
      </c>
      <c r="W108" s="324" t="e">
        <f>+W107-W104</f>
        <v>#REF!</v>
      </c>
    </row>
    <row r="109" spans="1:27">
      <c r="T109" s="329"/>
      <c r="U109" s="330"/>
      <c r="V109" s="330"/>
      <c r="W109" s="331"/>
      <c r="X109" s="332"/>
    </row>
    <row r="110" spans="1:27">
      <c r="T110" s="329"/>
      <c r="U110" s="330"/>
      <c r="V110" s="330"/>
      <c r="W110" s="324"/>
      <c r="X110" s="332"/>
    </row>
    <row r="111" spans="1:27">
      <c r="T111" s="330"/>
      <c r="U111" s="330"/>
      <c r="V111" s="330"/>
      <c r="W111" s="333"/>
      <c r="X111" s="332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wincom</cp:lastModifiedBy>
  <cp:lastPrinted>2013-12-11T09:13:19Z</cp:lastPrinted>
  <dcterms:created xsi:type="dcterms:W3CDTF">2007-07-06T07:24:03Z</dcterms:created>
  <dcterms:modified xsi:type="dcterms:W3CDTF">2013-12-11T09:28:25Z</dcterms:modified>
</cp:coreProperties>
</file>