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8475" windowHeight="5895" firstSheet="1" activeTab="6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5725"/>
</workbook>
</file>

<file path=xl/calcChain.xml><?xml version="1.0" encoding="utf-8"?>
<calcChain xmlns="http://schemas.openxmlformats.org/spreadsheetml/2006/main">
  <c r="I14" i="40"/>
  <c r="E22" i="36"/>
  <c r="E21"/>
  <c r="P63" i="53" l="1"/>
  <c r="T63"/>
  <c r="M103"/>
  <c r="B64"/>
  <c r="B63"/>
  <c r="C63"/>
  <c r="B61"/>
  <c r="D64"/>
  <c r="D63"/>
  <c r="B56"/>
  <c r="Y12"/>
  <c r="D61" i="54"/>
  <c r="D59"/>
  <c r="D58"/>
  <c r="D60"/>
  <c r="D57"/>
  <c r="D56"/>
  <c r="F62"/>
  <c r="D55"/>
  <c r="D48"/>
  <c r="D47"/>
  <c r="D45"/>
  <c r="D44"/>
  <c r="D41"/>
  <c r="D42"/>
  <c r="D27"/>
  <c r="D24"/>
  <c r="D30"/>
  <c r="D14"/>
  <c r="D10"/>
  <c r="I36" i="52"/>
  <c r="G29"/>
  <c r="G19"/>
  <c r="G18"/>
  <c r="G17"/>
  <c r="G15"/>
  <c r="G14"/>
  <c r="E19" i="36"/>
  <c r="E30" s="1"/>
  <c r="E20"/>
  <c r="F29"/>
  <c r="D20"/>
  <c r="D26"/>
  <c r="D24"/>
  <c r="D23"/>
  <c r="D25"/>
  <c r="D22"/>
  <c r="D30" s="1"/>
  <c r="D21"/>
  <c r="C70" i="35"/>
  <c r="C69"/>
  <c r="C63"/>
  <c r="C62"/>
  <c r="C58"/>
  <c r="C57"/>
  <c r="C56"/>
  <c r="C55"/>
  <c r="C54"/>
  <c r="C53"/>
  <c r="C52"/>
  <c r="C51"/>
  <c r="C50"/>
  <c r="C49"/>
  <c r="H49"/>
  <c r="H54"/>
  <c r="H62"/>
  <c r="C25"/>
  <c r="C24"/>
  <c r="H24"/>
  <c r="H25"/>
  <c r="C23"/>
  <c r="H23"/>
  <c r="C21"/>
  <c r="C17"/>
  <c r="C16"/>
  <c r="C15"/>
  <c r="C14"/>
  <c r="C13"/>
  <c r="C12"/>
  <c r="H21"/>
  <c r="H17"/>
  <c r="D9" i="54"/>
  <c r="F64"/>
  <c r="D54"/>
  <c r="E25" i="36"/>
  <c r="F28"/>
  <c r="D19"/>
  <c r="Z60" i="53"/>
  <c r="Z61"/>
  <c r="Z62"/>
  <c r="Z63"/>
  <c r="Z64"/>
  <c r="F27" i="36" l="1"/>
  <c r="F63" i="54" l="1"/>
  <c r="D51"/>
  <c r="D31"/>
  <c r="D18"/>
  <c r="C60" i="35"/>
  <c r="C18"/>
  <c r="Z28" i="53"/>
  <c r="Z19"/>
  <c r="Z49"/>
  <c r="Z50"/>
  <c r="Z59"/>
  <c r="F26" i="36" l="1"/>
  <c r="F25"/>
  <c r="F24" l="1"/>
  <c r="F23"/>
  <c r="F22"/>
  <c r="F21"/>
  <c r="F20"/>
  <c r="F19"/>
  <c r="F30" s="1"/>
  <c r="D53" i="54"/>
  <c r="E33" i="40" l="1"/>
  <c r="I33"/>
  <c r="E13" i="55"/>
  <c r="I34" i="52"/>
  <c r="I30"/>
  <c r="C67" i="35" l="1"/>
  <c r="C65"/>
  <c r="F61" i="54" l="1"/>
  <c r="Z12" i="53" l="1"/>
  <c r="E12" i="55"/>
  <c r="I33" i="52"/>
  <c r="C66" i="35"/>
  <c r="C28"/>
  <c r="C27"/>
  <c r="D12" i="54"/>
  <c r="D40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F60" i="54"/>
  <c r="F59"/>
  <c r="F58"/>
  <c r="F57"/>
  <c r="F56"/>
  <c r="F55"/>
  <c r="F54"/>
  <c r="F51"/>
  <c r="D50"/>
  <c r="C50"/>
  <c r="F48"/>
  <c r="F47"/>
  <c r="F46"/>
  <c r="F45"/>
  <c r="F44"/>
  <c r="F43"/>
  <c r="F42"/>
  <c r="F41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4" i="53"/>
  <c r="Y191"/>
  <c r="Y192" s="1"/>
  <c r="X191"/>
  <c r="X192" s="1"/>
  <c r="W191"/>
  <c r="W192" s="1"/>
  <c r="V191"/>
  <c r="V192" s="1"/>
  <c r="U191"/>
  <c r="U192" s="1"/>
  <c r="T191"/>
  <c r="T192" s="1"/>
  <c r="S191"/>
  <c r="S192" s="1"/>
  <c r="R191"/>
  <c r="R192" s="1"/>
  <c r="Q191"/>
  <c r="Q192" s="1"/>
  <c r="P191"/>
  <c r="P192" s="1"/>
  <c r="O191"/>
  <c r="O192" s="1"/>
  <c r="N191"/>
  <c r="N192" s="1"/>
  <c r="M191"/>
  <c r="M192" s="1"/>
  <c r="L191"/>
  <c r="L192" s="1"/>
  <c r="K191"/>
  <c r="K192" s="1"/>
  <c r="J191"/>
  <c r="J192" s="1"/>
  <c r="I191"/>
  <c r="I192" s="1"/>
  <c r="H191"/>
  <c r="H192" s="1"/>
  <c r="G191"/>
  <c r="G192" s="1"/>
  <c r="F191"/>
  <c r="F192" s="1"/>
  <c r="E191"/>
  <c r="E192" s="1"/>
  <c r="D191"/>
  <c r="D192" s="1"/>
  <c r="C191"/>
  <c r="C192" s="1"/>
  <c r="B191"/>
  <c r="B192" s="1"/>
  <c r="Z190"/>
  <c r="Z189"/>
  <c r="Z188"/>
  <c r="Z187"/>
  <c r="Z186"/>
  <c r="X185"/>
  <c r="T185"/>
  <c r="Y184"/>
  <c r="X184"/>
  <c r="W184"/>
  <c r="V184"/>
  <c r="V185" s="1"/>
  <c r="U184"/>
  <c r="T184"/>
  <c r="S184"/>
  <c r="R184"/>
  <c r="R185" s="1"/>
  <c r="Q184"/>
  <c r="P184"/>
  <c r="P185" s="1"/>
  <c r="O184"/>
  <c r="N184"/>
  <c r="N185" s="1"/>
  <c r="N194" s="1"/>
  <c r="L184"/>
  <c r="L185" s="1"/>
  <c r="K184"/>
  <c r="J184"/>
  <c r="J185" s="1"/>
  <c r="I184"/>
  <c r="H184"/>
  <c r="H185" s="1"/>
  <c r="G184"/>
  <c r="F184"/>
  <c r="F185" s="1"/>
  <c r="E184"/>
  <c r="D184"/>
  <c r="D185" s="1"/>
  <c r="C184"/>
  <c r="B184"/>
  <c r="B185" s="1"/>
  <c r="B194" s="1"/>
  <c r="Z183"/>
  <c r="Z181"/>
  <c r="Z180"/>
  <c r="Z179"/>
  <c r="Z178"/>
  <c r="Z35"/>
  <c r="Y148"/>
  <c r="Y149" s="1"/>
  <c r="X148"/>
  <c r="X149" s="1"/>
  <c r="W148"/>
  <c r="W149" s="1"/>
  <c r="V148"/>
  <c r="V149" s="1"/>
  <c r="U148"/>
  <c r="U149" s="1"/>
  <c r="T148"/>
  <c r="T149" s="1"/>
  <c r="S148"/>
  <c r="S149" s="1"/>
  <c r="R148"/>
  <c r="R149" s="1"/>
  <c r="Q148"/>
  <c r="Q149" s="1"/>
  <c r="P148"/>
  <c r="P149" s="1"/>
  <c r="O148"/>
  <c r="O149" s="1"/>
  <c r="N148"/>
  <c r="N149" s="1"/>
  <c r="M148"/>
  <c r="M149" s="1"/>
  <c r="L148"/>
  <c r="L149" s="1"/>
  <c r="K148"/>
  <c r="K149" s="1"/>
  <c r="J148"/>
  <c r="J149" s="1"/>
  <c r="I148"/>
  <c r="I149" s="1"/>
  <c r="H148"/>
  <c r="H149" s="1"/>
  <c r="G148"/>
  <c r="G149" s="1"/>
  <c r="F148"/>
  <c r="F149" s="1"/>
  <c r="E148"/>
  <c r="E149" s="1"/>
  <c r="D148"/>
  <c r="D149" s="1"/>
  <c r="C148"/>
  <c r="C149" s="1"/>
  <c r="B148"/>
  <c r="B149" s="1"/>
  <c r="Z147"/>
  <c r="Z146"/>
  <c r="Z145"/>
  <c r="Z144"/>
  <c r="Z143"/>
  <c r="Y141"/>
  <c r="Y142" s="1"/>
  <c r="X141"/>
  <c r="X142" s="1"/>
  <c r="W141"/>
  <c r="W142" s="1"/>
  <c r="V141"/>
  <c r="V142" s="1"/>
  <c r="U141"/>
  <c r="U142" s="1"/>
  <c r="T141"/>
  <c r="T142" s="1"/>
  <c r="S141"/>
  <c r="S142" s="1"/>
  <c r="R141"/>
  <c r="R142" s="1"/>
  <c r="Q141"/>
  <c r="Q142" s="1"/>
  <c r="P141"/>
  <c r="P142" s="1"/>
  <c r="O141"/>
  <c r="O142" s="1"/>
  <c r="N141"/>
  <c r="N142" s="1"/>
  <c r="M141"/>
  <c r="M142" s="1"/>
  <c r="L141"/>
  <c r="L142" s="1"/>
  <c r="K141"/>
  <c r="K142" s="1"/>
  <c r="J141"/>
  <c r="J142" s="1"/>
  <c r="I141"/>
  <c r="I142" s="1"/>
  <c r="H141"/>
  <c r="H142" s="1"/>
  <c r="G141"/>
  <c r="G142" s="1"/>
  <c r="F141"/>
  <c r="F142" s="1"/>
  <c r="E141"/>
  <c r="E142" s="1"/>
  <c r="D141"/>
  <c r="D142" s="1"/>
  <c r="C141"/>
  <c r="C142" s="1"/>
  <c r="B141"/>
  <c r="B142" s="1"/>
  <c r="Z140"/>
  <c r="Z138"/>
  <c r="Z137"/>
  <c r="Z136"/>
  <c r="Z135"/>
  <c r="A132"/>
  <c r="Y116"/>
  <c r="Y117" s="1"/>
  <c r="X116"/>
  <c r="X117" s="1"/>
  <c r="W116"/>
  <c r="W117" s="1"/>
  <c r="V116"/>
  <c r="V117" s="1"/>
  <c r="U116"/>
  <c r="U117" s="1"/>
  <c r="T116"/>
  <c r="T117" s="1"/>
  <c r="S116"/>
  <c r="S117" s="1"/>
  <c r="R116"/>
  <c r="R117" s="1"/>
  <c r="Q116"/>
  <c r="Q117" s="1"/>
  <c r="P116"/>
  <c r="P117" s="1"/>
  <c r="O116"/>
  <c r="O117" s="1"/>
  <c r="N116"/>
  <c r="N117" s="1"/>
  <c r="L116"/>
  <c r="L117" s="1"/>
  <c r="K116"/>
  <c r="K117" s="1"/>
  <c r="J116"/>
  <c r="J117" s="1"/>
  <c r="I116"/>
  <c r="I117" s="1"/>
  <c r="H116"/>
  <c r="H117" s="1"/>
  <c r="G116"/>
  <c r="G117" s="1"/>
  <c r="F116"/>
  <c r="F117" s="1"/>
  <c r="E116"/>
  <c r="E117" s="1"/>
  <c r="D116"/>
  <c r="D117" s="1"/>
  <c r="C116"/>
  <c r="C117" s="1"/>
  <c r="B116"/>
  <c r="Z115"/>
  <c r="Z114"/>
  <c r="M116"/>
  <c r="M117" s="1"/>
  <c r="Z113"/>
  <c r="Z112"/>
  <c r="Z111"/>
  <c r="Y109"/>
  <c r="Y110" s="1"/>
  <c r="X109"/>
  <c r="X110" s="1"/>
  <c r="W109"/>
  <c r="W110" s="1"/>
  <c r="V109"/>
  <c r="V110" s="1"/>
  <c r="U109"/>
  <c r="U110" s="1"/>
  <c r="T109"/>
  <c r="T110" s="1"/>
  <c r="S109"/>
  <c r="S110" s="1"/>
  <c r="R109"/>
  <c r="R110" s="1"/>
  <c r="Q109"/>
  <c r="Q110" s="1"/>
  <c r="P109"/>
  <c r="P110" s="1"/>
  <c r="O109"/>
  <c r="O110" s="1"/>
  <c r="N109"/>
  <c r="N110" s="1"/>
  <c r="M109"/>
  <c r="M110" s="1"/>
  <c r="L109"/>
  <c r="L110" s="1"/>
  <c r="K109"/>
  <c r="K110" s="1"/>
  <c r="J109"/>
  <c r="J110" s="1"/>
  <c r="I109"/>
  <c r="I110" s="1"/>
  <c r="H109"/>
  <c r="H110" s="1"/>
  <c r="G109"/>
  <c r="G110" s="1"/>
  <c r="F109"/>
  <c r="F110" s="1"/>
  <c r="E109"/>
  <c r="E110" s="1"/>
  <c r="D109"/>
  <c r="D110" s="1"/>
  <c r="C109"/>
  <c r="B109"/>
  <c r="B110" s="1"/>
  <c r="Z108"/>
  <c r="Z107"/>
  <c r="Z106"/>
  <c r="Z105"/>
  <c r="Z104"/>
  <c r="Z103"/>
  <c r="Z102"/>
  <c r="Z101"/>
  <c r="Y100"/>
  <c r="W100"/>
  <c r="X99"/>
  <c r="X100" s="1"/>
  <c r="V99"/>
  <c r="V100" s="1"/>
  <c r="U99"/>
  <c r="U100" s="1"/>
  <c r="T99"/>
  <c r="T100" s="1"/>
  <c r="S99"/>
  <c r="S100" s="1"/>
  <c r="R99"/>
  <c r="R100" s="1"/>
  <c r="Q99"/>
  <c r="Q100" s="1"/>
  <c r="P99"/>
  <c r="P100" s="1"/>
  <c r="O99"/>
  <c r="O100" s="1"/>
  <c r="N99"/>
  <c r="N100" s="1"/>
  <c r="M99"/>
  <c r="M100" s="1"/>
  <c r="L99"/>
  <c r="L100" s="1"/>
  <c r="K99"/>
  <c r="K100" s="1"/>
  <c r="J99"/>
  <c r="J100" s="1"/>
  <c r="I99"/>
  <c r="I100" s="1"/>
  <c r="H99"/>
  <c r="H100" s="1"/>
  <c r="G99"/>
  <c r="G100" s="1"/>
  <c r="F99"/>
  <c r="F100" s="1"/>
  <c r="E99"/>
  <c r="E100" s="1"/>
  <c r="D99"/>
  <c r="D100" s="1"/>
  <c r="C99"/>
  <c r="C100" s="1"/>
  <c r="B99"/>
  <c r="Z98"/>
  <c r="Z96"/>
  <c r="Z95"/>
  <c r="Z94"/>
  <c r="Z93"/>
  <c r="Z92"/>
  <c r="A89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G82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5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A56" i="35"/>
  <c r="A55"/>
  <c r="A60"/>
  <c r="A54"/>
  <c r="A58"/>
  <c r="A57"/>
  <c r="A53"/>
  <c r="A51"/>
  <c r="A52"/>
  <c r="I31" i="52"/>
  <c r="J194" i="53" l="1"/>
  <c r="J193"/>
  <c r="F194"/>
  <c r="F193"/>
  <c r="T193"/>
  <c r="F33" i="54"/>
  <c r="D193" i="53"/>
  <c r="D194"/>
  <c r="H194"/>
  <c r="H193"/>
  <c r="L194"/>
  <c r="L193"/>
  <c r="F40" i="54"/>
  <c r="C110" i="53"/>
  <c r="N193"/>
  <c r="R194"/>
  <c r="R193"/>
  <c r="V194"/>
  <c r="V193"/>
  <c r="P194"/>
  <c r="X194"/>
  <c r="B193"/>
  <c r="X193"/>
  <c r="P193"/>
  <c r="T150"/>
  <c r="X150"/>
  <c r="Z184"/>
  <c r="Z185" s="1"/>
  <c r="Z191"/>
  <c r="Z192" s="1"/>
  <c r="F50" i="54"/>
  <c r="F29"/>
  <c r="F26"/>
  <c r="F23"/>
  <c r="F12"/>
  <c r="C7"/>
  <c r="C65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4" i="53"/>
  <c r="C185"/>
  <c r="C194" s="1"/>
  <c r="G185"/>
  <c r="K185"/>
  <c r="O185"/>
  <c r="S185"/>
  <c r="W185"/>
  <c r="E185"/>
  <c r="E194" s="1"/>
  <c r="I185"/>
  <c r="M185"/>
  <c r="M194" s="1"/>
  <c r="Q185"/>
  <c r="U185"/>
  <c r="Y185"/>
  <c r="X18"/>
  <c r="B37"/>
  <c r="B38" s="1"/>
  <c r="Z116"/>
  <c r="Z117" s="1"/>
  <c r="E151"/>
  <c r="I150"/>
  <c r="U150"/>
  <c r="Z148"/>
  <c r="Z149" s="1"/>
  <c r="H151"/>
  <c r="P150"/>
  <c r="Z141"/>
  <c r="Z142" s="1"/>
  <c r="W151"/>
  <c r="P18"/>
  <c r="U18"/>
  <c r="U151" s="1"/>
  <c r="X151"/>
  <c r="H150"/>
  <c r="L150"/>
  <c r="L18"/>
  <c r="L151" s="1"/>
  <c r="F150"/>
  <c r="J150"/>
  <c r="N150"/>
  <c r="R150"/>
  <c r="V150"/>
  <c r="I18"/>
  <c r="I151" s="1"/>
  <c r="N18"/>
  <c r="N151" s="1"/>
  <c r="T18"/>
  <c r="B117"/>
  <c r="M150"/>
  <c r="J151"/>
  <c r="Z109"/>
  <c r="Z110" s="1"/>
  <c r="Z99"/>
  <c r="Z100" s="1"/>
  <c r="V151"/>
  <c r="S151"/>
  <c r="Z81"/>
  <c r="K151"/>
  <c r="B82"/>
  <c r="E150"/>
  <c r="G151"/>
  <c r="D150"/>
  <c r="O151"/>
  <c r="T151"/>
  <c r="P151"/>
  <c r="D151"/>
  <c r="F151"/>
  <c r="Z17"/>
  <c r="Z18" s="1"/>
  <c r="Z26"/>
  <c r="Z27" s="1"/>
  <c r="Y18"/>
  <c r="Y151" s="1"/>
  <c r="Y150"/>
  <c r="M151"/>
  <c r="R151"/>
  <c r="B66"/>
  <c r="Z57"/>
  <c r="Z58" s="1"/>
  <c r="Q65"/>
  <c r="Q66" s="1"/>
  <c r="Q151" s="1"/>
  <c r="C82"/>
  <c r="C150"/>
  <c r="G150"/>
  <c r="K150"/>
  <c r="O150"/>
  <c r="S150"/>
  <c r="W150"/>
  <c r="B100"/>
  <c r="Z65"/>
  <c r="I41" i="52"/>
  <c r="L41" s="1"/>
  <c r="G194" i="53" l="1"/>
  <c r="G193"/>
  <c r="K194"/>
  <c r="K193"/>
  <c r="I194"/>
  <c r="I193"/>
  <c r="C151"/>
  <c r="Z37"/>
  <c r="Z150" s="1"/>
  <c r="B150"/>
  <c r="Z193"/>
  <c r="Z194" s="1"/>
  <c r="M193"/>
  <c r="S194"/>
  <c r="S193"/>
  <c r="C193"/>
  <c r="Q194"/>
  <c r="Q193"/>
  <c r="W194"/>
  <c r="W193"/>
  <c r="U194"/>
  <c r="U193"/>
  <c r="E193"/>
  <c r="Y194"/>
  <c r="Y193"/>
  <c r="O194"/>
  <c r="O193"/>
  <c r="F7" i="54"/>
  <c r="W101" i="56"/>
  <c r="W104"/>
  <c r="W108" s="1"/>
  <c r="D65" i="54"/>
  <c r="F65" s="1"/>
  <c r="B151" i="53"/>
  <c r="Z82"/>
  <c r="Z66"/>
  <c r="Q150"/>
  <c r="L20" i="40"/>
  <c r="L163"/>
  <c r="L125"/>
  <c r="I123"/>
  <c r="L88"/>
  <c r="G28"/>
  <c r="I7"/>
  <c r="L5" s="1"/>
  <c r="C73" i="35"/>
  <c r="F9" i="36"/>
  <c r="E12"/>
  <c r="H63" i="35" s="1"/>
  <c r="H73" s="1"/>
  <c r="D12" i="36"/>
  <c r="C12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38" i="53" l="1"/>
  <c r="Z151" s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6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7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3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4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5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6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7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8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5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6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7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<sst xmlns="http://schemas.openxmlformats.org/spreadsheetml/2006/main" count="1067" uniqueCount="437">
  <si>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</si>
  <si>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</si>
  <si>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</si>
  <si>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</si>
  <si>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</si>
  <si>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</si>
  <si>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</si>
  <si>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</si>
  <si>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</si>
  <si>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</si>
  <si>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</si>
  <si>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</si>
  <si>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</si>
  <si>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</si>
  <si>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</si>
  <si>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</si>
  <si>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</si>
  <si>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</si>
  <si>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</si>
  <si>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</si>
  <si>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</si>
  <si>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</si>
  <si>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</si>
  <si>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</si>
  <si>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</si>
  <si>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</si>
  <si>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</si>
  <si>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</si>
  <si>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</si>
  <si>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</si>
  <si>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</si>
  <si>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</si>
  <si>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</si>
  <si>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</si>
  <si>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</si>
  <si>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</si>
  <si>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</si>
  <si>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</si>
  <si>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</si>
  <si>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</si>
  <si>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</si>
  <si>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</si>
  <si>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</si>
  <si>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</si>
  <si>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</si>
  <si>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</si>
  <si>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</si>
  <si>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</si>
  <si>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</si>
  <si>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</si>
  <si>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</si>
  <si>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</si>
  <si>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</si>
  <si>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</si>
  <si>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</si>
  <si>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</si>
  <si>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</si>
  <si>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</si>
  <si>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</si>
  <si>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</si>
  <si>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</si>
  <si>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</si>
  <si>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</si>
  <si>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</si>
  <si>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</si>
  <si>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</si>
  <si>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</si>
  <si>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</si>
  <si>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</si>
  <si>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</si>
  <si>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</si>
  <si>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</si>
  <si>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</si>
  <si>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</si>
  <si>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</si>
  <si>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</si>
  <si>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</si>
  <si>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</si>
  <si>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</si>
  <si>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</si>
  <si>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</si>
  <si>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</si>
  <si>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</si>
  <si>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</si>
  <si>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</si>
  <si>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</si>
  <si>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</si>
  <si>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</si>
  <si>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</si>
  <si>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</si>
  <si>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</si>
  <si>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</si>
  <si>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</si>
  <si>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</si>
  <si>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</si>
  <si>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</si>
  <si>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</si>
  <si>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</si>
  <si>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</si>
  <si>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</si>
  <si>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</si>
  <si>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</si>
  <si>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</si>
  <si>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</si>
  <si>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</si>
  <si>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</si>
  <si>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</si>
  <si>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</si>
  <si>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</si>
  <si>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</si>
  <si>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</si>
  <si>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</si>
  <si>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</si>
  <si>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</si>
  <si>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</si>
  <si>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</si>
  <si>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</si>
  <si>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</si>
  <si>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</si>
  <si>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</si>
  <si>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</si>
  <si>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</si>
  <si>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</si>
  <si>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</si>
  <si>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</si>
  <si>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</si>
  <si>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</si>
  <si>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</si>
  <si>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</si>
  <si>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</si>
  <si>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</si>
  <si>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</si>
  <si>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</si>
  <si>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</si>
  <si>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</si>
  <si>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</si>
  <si>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</si>
  <si>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</si>
  <si>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</si>
  <si>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</si>
  <si>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</si>
  <si>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</si>
  <si>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</si>
  <si>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</si>
  <si>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</si>
  <si>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</si>
  <si>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</si>
  <si>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</si>
  <si>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</si>
  <si>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</si>
  <si>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</si>
  <si>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</si>
  <si>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</si>
  <si>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</si>
  <si>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</si>
  <si>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</si>
  <si>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</si>
  <si>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</si>
  <si>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</si>
  <si>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</si>
  <si>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</si>
  <si>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</si>
  <si>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</si>
  <si>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</si>
  <si>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</si>
  <si>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</si>
  <si>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</si>
  <si>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</si>
  <si>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</si>
  <si>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</si>
  <si>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</si>
  <si>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</si>
  <si>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</si>
  <si>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</si>
  <si>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</si>
  <si>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</si>
  <si>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</si>
  <si>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</si>
  <si>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</si>
  <si>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</si>
  <si>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</si>
  <si>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</si>
  <si>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</si>
  <si>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</si>
  <si>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</si>
  <si>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</si>
  <si>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</si>
  <si>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</si>
  <si>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(นางสาวอารี   ทองรุช)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</si>
  <si>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</si>
  <si>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</si>
  <si>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</si>
  <si>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</si>
  <si>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</si>
  <si>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</si>
  <si>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</si>
  <si>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</si>
  <si>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</si>
  <si>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</si>
  <si>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</si>
  <si>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</si>
  <si>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</si>
  <si>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</si>
  <si>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</si>
  <si>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</si>
  <si>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</si>
  <si>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</si>
  <si>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</si>
  <si>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</si>
  <si>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</si>
  <si>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</si>
  <si>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</si>
  <si>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</si>
  <si>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</si>
  <si>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</si>
  <si>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</si>
  <si>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</si>
  <si>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</si>
  <si>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</si>
  <si>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</si>
  <si>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</si>
  <si>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</si>
  <si>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</si>
  <si>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</si>
  <si>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</si>
  <si>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</si>
  <si>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</si>
  <si>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</si>
  <si>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</si>
  <si>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</si>
  <si>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</si>
  <si>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</si>
  <si>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</si>
  <si>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</si>
  <si>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</si>
  <si>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</si>
  <si>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</si>
  <si>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</si>
  <si>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</si>
  <si>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</si>
  <si>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</si>
  <si>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</si>
  <si>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</si>
  <si>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</si>
  <si>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</si>
  <si>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</si>
  <si>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</si>
  <si>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</si>
  <si>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</si>
  <si>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</si>
  <si>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</si>
  <si>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</si>
  <si>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</si>
  <si>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</si>
  <si>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</si>
  <si>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</si>
  <si>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</si>
  <si>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</si>
  <si>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</si>
  <si>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</si>
  <si>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</si>
  <si>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</si>
  <si>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</si>
  <si>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</si>
  <si>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</si>
  <si>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</si>
  <si>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</si>
  <si>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</si>
  <si>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</si>
  <si>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</si>
  <si>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</si>
  <si>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</si>
  <si>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</si>
  <si>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</si>
  <si>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</si>
  <si>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</si>
  <si>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</si>
  <si>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</si>
  <si>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</si>
  <si>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</si>
  <si>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</si>
  <si>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</si>
  <si>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</si>
  <si>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</si>
  <si>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</si>
  <si>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</si>
  <si>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</si>
  <si>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</si>
  <si>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</si>
  <si>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</si>
  <si>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</si>
  <si>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</si>
  <si>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</si>
  <si>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</si>
  <si>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</si>
  <si>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</si>
  <si>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</si>
  <si>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</si>
  <si>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</si>
  <si>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</si>
  <si>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</si>
  <si>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</si>
  <si>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</si>
  <si>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</si>
  <si>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</si>
  <si>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</si>
  <si>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</si>
  <si>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</si>
  <si>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</si>
  <si>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</si>
  <si>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</si>
  <si>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</si>
  <si>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</si>
  <si>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</si>
  <si>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</si>
  <si>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</si>
  <si>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</si>
  <si>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</si>
  <si>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</si>
  <si>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</si>
  <si>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</si>
  <si>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</si>
  <si>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</si>
  <si>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</si>
  <si>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</si>
  <si>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</si>
  <si>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</si>
  <si>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</si>
  <si>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</si>
  <si>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</si>
  <si>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</si>
  <si>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</si>
  <si>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</si>
  <si>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</si>
  <si>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</si>
  <si>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</si>
  <si>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</si>
  <si>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</si>
  <si>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</si>
  <si>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</si>
  <si>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</si>
  <si>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</si>
  <si>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</si>
  <si>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</si>
  <si>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</si>
  <si>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</si>
  <si>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</si>
  <si>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</si>
  <si>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</si>
  <si>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</si>
  <si>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</si>
  <si>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</si>
  <si>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</si>
  <si>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</si>
  <si>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</si>
  <si>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</si>
  <si>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</si>
  <si>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</si>
  <si>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</si>
  <si>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</si>
  <si>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</si>
  <si>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</si>
  <si>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</si>
  <si>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</si>
  <si>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</si>
  <si>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</si>
  <si>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</si>
  <si>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</si>
  <si>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</si>
  <si>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</si>
  <si>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</si>
  <si>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</si>
  <si>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</si>
  <si>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</si>
  <si>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</si>
  <si>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</si>
  <si>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</si>
  <si>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</si>
  <si>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</si>
  <si>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</si>
  <si>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</si>
  <si>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</si>
  <si>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</si>
  <si>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</si>
  <si>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</si>
  <si>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</si>
  <si>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</si>
  <si>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รับคืน-เบี้ยยังชีพผู้สูงอายุ</t>
  </si>
  <si>
    <t>รับคืน-เงินเดือนฝ่ายการเมือง</t>
  </si>
  <si>
    <t>440000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</si>
  <si>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</si>
  <si>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</si>
  <si>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</si>
  <si>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</si>
  <si>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>เงินเกินบัญชี</t>
  </si>
  <si>
    <t>230200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</si>
  <si>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</si>
  <si>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</si>
  <si>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</si>
  <si>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</si>
  <si>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</si>
  <si>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</si>
  <si>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>โครงการก่อสร้างอาคารศูนย์พัฒนาเด็กเล็ก บ้านทุ่งไม้ไผ่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</si>
  <si>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</si>
  <si>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</si>
  <si>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</si>
  <si>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</si>
  <si>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+</t>
  </si>
  <si>
    <t>โครงการสร้างพลังเยาวชนฯ</t>
  </si>
  <si>
    <t>รายรับ</t>
  </si>
  <si>
    <t>ครุภัณฑ์คอมพิวเตอร์</t>
  </si>
  <si>
    <t>11/4/56</t>
  </si>
  <si>
    <t>18/4/56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</si>
  <si>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</si>
  <si>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 xml:space="preserve">                            ประจำเดือน พฤษภาคม พ.ศ.2556    </t>
  </si>
  <si>
    <t>ประจำเดือนพฤษภาคม  2556</t>
  </si>
  <si>
    <t>วันที่  31  พฤษภาคม  2556</t>
  </si>
  <si>
    <t>ประจำเดือน  พฤษภาคม  2556</t>
  </si>
  <si>
    <t>หมายเหตุประกอบงบทดลอง  ประจำเดือน  พฤษภาคม  2556</t>
  </si>
  <si>
    <t>โครงการแก้ไขปัญหายาเสพติดฯ</t>
  </si>
  <si>
    <t>โครงการยาเสพติดฯ</t>
  </si>
  <si>
    <t xml:space="preserve"> 31 พฤษภาคม 2556</t>
  </si>
  <si>
    <t>1/5/56</t>
  </si>
  <si>
    <t>3/5/56</t>
  </si>
  <si>
    <t>8/5/56</t>
  </si>
  <si>
    <t>17/5/56</t>
  </si>
  <si>
    <t>23/5/56</t>
  </si>
  <si>
    <t>0089447</t>
  </si>
  <si>
    <t>0089452</t>
  </si>
  <si>
    <t>0089453</t>
  </si>
  <si>
    <t>28/5/56</t>
  </si>
  <si>
    <t>30/5/56</t>
  </si>
  <si>
    <t>0089455</t>
  </si>
  <si>
    <t>0089456</t>
  </si>
  <si>
    <t>0089457</t>
  </si>
  <si>
    <t>0089458</t>
  </si>
  <si>
    <t>0089460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</si>
</sst>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  <numFmt numFmtId="189" formatCode="_(* #,##0_);_(* \(#,##0\);_(* &quot;-&quot;??_);_(@_)"/>
  </numFmts>
  <fonts count="55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2" fillId="0" borderId="0"/>
    <xf numFmtId="0" fontId="1" fillId="0" borderId="0"/>
  </cellStyleXfs>
  <cellXfs count="52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43" fontId="3" fillId="0" borderId="4" xfId="1" applyFont="1" applyBorder="1" applyAlignment="1"/>
    <xf numFmtId="187" fontId="3" fillId="0" borderId="6" xfId="0" applyNumberFormat="1" applyFont="1" applyBorder="1" applyAlignment="1">
      <alignment horizontal="center"/>
    </xf>
    <xf numFmtId="43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6" fillId="0" borderId="0" xfId="0" applyNumberFormat="1" applyFont="1" applyBorder="1" applyAlignment="1"/>
    <xf numFmtId="43" fontId="3" fillId="0" borderId="0" xfId="0" applyNumberFormat="1" applyFont="1"/>
    <xf numFmtId="43" fontId="3" fillId="0" borderId="0" xfId="1" applyFont="1" applyBorder="1"/>
    <xf numFmtId="43" fontId="3" fillId="0" borderId="0" xfId="1" applyFont="1"/>
    <xf numFmtId="187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187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3" fontId="7" fillId="0" borderId="0" xfId="1" applyFont="1" applyAlignment="1">
      <alignment vertical="center"/>
    </xf>
    <xf numFmtId="187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43" fontId="3" fillId="0" borderId="0" xfId="0" applyNumberFormat="1" applyFont="1" applyBorder="1"/>
    <xf numFmtId="187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43" fontId="3" fillId="0" borderId="6" xfId="1" applyFont="1" applyBorder="1" applyAlignment="1">
      <alignment horizontal="center"/>
    </xf>
    <xf numFmtId="187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43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43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43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43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43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16" fillId="0" borderId="0" xfId="4" applyFont="1"/>
    <xf numFmtId="187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3" fillId="0" borderId="6" xfId="0" applyNumberFormat="1" applyFont="1" applyBorder="1"/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187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" fontId="17" fillId="0" borderId="36" xfId="1" applyNumberFormat="1" applyFont="1" applyFill="1" applyBorder="1" applyAlignment="1">
      <alignment horizontal="center"/>
    </xf>
    <xf numFmtId="187" fontId="17" fillId="0" borderId="37" xfId="1" applyNumberFormat="1" applyFont="1" applyFill="1" applyBorder="1" applyAlignment="1">
      <alignment horizontal="center"/>
    </xf>
    <xf numFmtId="187" fontId="17" fillId="0" borderId="37" xfId="1" applyNumberFormat="1" applyFont="1" applyFill="1" applyBorder="1" applyAlignment="1">
      <alignment horizontal="center" vertical="center"/>
    </xf>
    <xf numFmtId="187" fontId="17" fillId="0" borderId="14" xfId="1" applyNumberFormat="1" applyFont="1" applyFill="1" applyBorder="1"/>
    <xf numFmtId="187" fontId="17" fillId="0" borderId="14" xfId="1" applyNumberFormat="1" applyFont="1" applyFill="1" applyBorder="1" applyAlignment="1"/>
    <xf numFmtId="187" fontId="17" fillId="0" borderId="39" xfId="1" applyNumberFormat="1" applyFont="1" applyFill="1" applyBorder="1"/>
    <xf numFmtId="187" fontId="17" fillId="0" borderId="9" xfId="1" applyNumberFormat="1" applyFont="1" applyFill="1" applyBorder="1"/>
    <xf numFmtId="1" fontId="17" fillId="0" borderId="40" xfId="1" applyNumberFormat="1" applyFont="1" applyFill="1" applyBorder="1" applyAlignment="1">
      <alignment horizontal="center"/>
    </xf>
    <xf numFmtId="187" fontId="17" fillId="0" borderId="10" xfId="1" applyNumberFormat="1" applyFont="1" applyFill="1" applyBorder="1"/>
    <xf numFmtId="187" fontId="17" fillId="0" borderId="37" xfId="1" applyNumberFormat="1" applyFont="1" applyFill="1" applyBorder="1"/>
    <xf numFmtId="187" fontId="17" fillId="0" borderId="31" xfId="1" applyNumberFormat="1" applyFont="1" applyFill="1" applyBorder="1"/>
    <xf numFmtId="187" fontId="17" fillId="0" borderId="7" xfId="1" applyNumberFormat="1" applyFont="1" applyFill="1" applyBorder="1"/>
    <xf numFmtId="187" fontId="17" fillId="0" borderId="35" xfId="1" applyNumberFormat="1" applyFont="1" applyFill="1" applyBorder="1"/>
    <xf numFmtId="187" fontId="17" fillId="0" borderId="0" xfId="1" applyNumberFormat="1" applyFont="1" applyFill="1" applyBorder="1"/>
    <xf numFmtId="187" fontId="17" fillId="0" borderId="13" xfId="1" applyNumberFormat="1" applyFont="1" applyFill="1" applyBorder="1"/>
    <xf numFmtId="187" fontId="17" fillId="0" borderId="41" xfId="1" applyNumberFormat="1" applyFont="1" applyFill="1" applyBorder="1"/>
    <xf numFmtId="187" fontId="17" fillId="0" borderId="38" xfId="1" applyNumberFormat="1" applyFont="1" applyFill="1" applyBorder="1"/>
    <xf numFmtId="1" fontId="17" fillId="0" borderId="42" xfId="1" applyNumberFormat="1" applyFont="1" applyFill="1" applyBorder="1" applyAlignment="1">
      <alignment horizontal="center"/>
    </xf>
    <xf numFmtId="187" fontId="17" fillId="0" borderId="9" xfId="1" applyNumberFormat="1" applyFont="1" applyFill="1" applyBorder="1" applyAlignment="1">
      <alignment horizontal="center"/>
    </xf>
    <xf numFmtId="187" fontId="17" fillId="0" borderId="14" xfId="1" applyNumberFormat="1" applyFont="1" applyFill="1" applyBorder="1" applyAlignment="1">
      <alignment horizontal="center"/>
    </xf>
    <xf numFmtId="187" fontId="17" fillId="0" borderId="14" xfId="1" applyNumberFormat="1" applyFont="1" applyFill="1" applyBorder="1" applyAlignment="1">
      <alignment horizontal="center" vertical="center"/>
    </xf>
    <xf numFmtId="187" fontId="17" fillId="0" borderId="39" xfId="1" applyNumberFormat="1" applyFont="1" applyFill="1" applyBorder="1" applyAlignment="1">
      <alignment horizontal="center" vertical="center"/>
    </xf>
    <xf numFmtId="187" fontId="17" fillId="0" borderId="10" xfId="1" applyNumberFormat="1" applyFont="1" applyFill="1" applyBorder="1" applyAlignment="1">
      <alignment horizontal="right"/>
    </xf>
    <xf numFmtId="187" fontId="17" fillId="0" borderId="10" xfId="1" applyNumberFormat="1" applyFont="1" applyFill="1" applyBorder="1" applyAlignment="1">
      <alignment horizontal="center"/>
    </xf>
    <xf numFmtId="187" fontId="17" fillId="0" borderId="46" xfId="1" applyNumberFormat="1" applyFont="1" applyFill="1" applyBorder="1"/>
    <xf numFmtId="187" fontId="17" fillId="0" borderId="47" xfId="1" applyNumberFormat="1" applyFont="1" applyFill="1" applyBorder="1"/>
    <xf numFmtId="187" fontId="17" fillId="0" borderId="48" xfId="1" applyNumberFormat="1" applyFont="1" applyFill="1" applyBorder="1"/>
    <xf numFmtId="187" fontId="17" fillId="0" borderId="49" xfId="1" applyNumberFormat="1" applyFont="1" applyFill="1" applyBorder="1"/>
    <xf numFmtId="187" fontId="17" fillId="0" borderId="50" xfId="1" applyNumberFormat="1" applyFont="1" applyFill="1" applyBorder="1"/>
    <xf numFmtId="1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left"/>
    </xf>
    <xf numFmtId="1" fontId="17" fillId="0" borderId="40" xfId="1" quotePrefix="1" applyNumberFormat="1" applyFont="1" applyFill="1" applyBorder="1" applyAlignment="1">
      <alignment horizontal="left"/>
    </xf>
    <xf numFmtId="187" fontId="17" fillId="0" borderId="34" xfId="1" applyNumberFormat="1" applyFont="1" applyFill="1" applyBorder="1"/>
    <xf numFmtId="187" fontId="17" fillId="0" borderId="51" xfId="1" applyNumberFormat="1" applyFont="1" applyFill="1" applyBorder="1"/>
    <xf numFmtId="187" fontId="17" fillId="0" borderId="44" xfId="1" applyNumberFormat="1" applyFont="1" applyFill="1" applyBorder="1"/>
    <xf numFmtId="187" fontId="17" fillId="0" borderId="18" xfId="1" applyNumberFormat="1" applyFont="1" applyFill="1" applyBorder="1"/>
    <xf numFmtId="1" fontId="17" fillId="0" borderId="42" xfId="1" quotePrefix="1" applyNumberFormat="1" applyFont="1" applyFill="1" applyBorder="1" applyAlignment="1">
      <alignment horizontal="center"/>
    </xf>
    <xf numFmtId="187" fontId="17" fillId="0" borderId="52" xfId="1" applyNumberFormat="1" applyFont="1" applyFill="1" applyBorder="1"/>
    <xf numFmtId="187" fontId="17" fillId="0" borderId="45" xfId="1" applyNumberFormat="1" applyFont="1" applyFill="1" applyBorder="1"/>
    <xf numFmtId="187" fontId="17" fillId="0" borderId="31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187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187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187" fontId="26" fillId="0" borderId="9" xfId="0" applyNumberFormat="1" applyFont="1" applyFill="1" applyBorder="1"/>
    <xf numFmtId="187" fontId="19" fillId="0" borderId="0" xfId="0" applyNumberFormat="1" applyFont="1" applyFill="1"/>
    <xf numFmtId="0" fontId="21" fillId="0" borderId="4" xfId="0" applyFont="1" applyFill="1" applyBorder="1"/>
    <xf numFmtId="0" fontId="21" fillId="0" borderId="5" xfId="0" applyFont="1" applyFill="1" applyBorder="1"/>
    <xf numFmtId="187" fontId="21" fillId="0" borderId="13" xfId="1" applyNumberFormat="1" applyFont="1" applyFill="1" applyBorder="1"/>
    <xf numFmtId="49" fontId="21" fillId="0" borderId="4" xfId="0" applyNumberFormat="1" applyFont="1" applyFill="1" applyBorder="1" applyAlignment="1">
      <alignment horizontal="center"/>
    </xf>
    <xf numFmtId="187" fontId="26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187" fontId="21" fillId="0" borderId="13" xfId="1" applyNumberFormat="1" applyFont="1" applyFill="1" applyBorder="1" applyAlignment="1"/>
    <xf numFmtId="0" fontId="21" fillId="0" borderId="0" xfId="0" applyFont="1" applyFill="1" applyBorder="1"/>
    <xf numFmtId="187" fontId="23" fillId="0" borderId="13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187" fontId="26" fillId="0" borderId="9" xfId="1" applyNumberFormat="1" applyFont="1" applyFill="1" applyBorder="1" applyAlignment="1"/>
    <xf numFmtId="187" fontId="26" fillId="0" borderId="10" xfId="0" applyNumberFormat="1" applyFont="1" applyFill="1" applyBorder="1"/>
    <xf numFmtId="187" fontId="21" fillId="0" borderId="13" xfId="1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0" fontId="22" fillId="0" borderId="13" xfId="0" applyFont="1" applyFill="1" applyBorder="1"/>
    <xf numFmtId="0" fontId="27" fillId="0" borderId="0" xfId="0" applyFont="1" applyFill="1"/>
    <xf numFmtId="187" fontId="23" fillId="0" borderId="9" xfId="1" applyNumberFormat="1" applyFont="1" applyFill="1" applyBorder="1"/>
    <xf numFmtId="49" fontId="23" fillId="0" borderId="9" xfId="0" applyNumberFormat="1" applyFont="1" applyFill="1" applyBorder="1" applyAlignment="1">
      <alignment horizontal="center"/>
    </xf>
    <xf numFmtId="187" fontId="26" fillId="0" borderId="14" xfId="0" applyNumberFormat="1" applyFont="1" applyFill="1" applyBorder="1"/>
    <xf numFmtId="187" fontId="23" fillId="0" borderId="9" xfId="1" applyNumberFormat="1" applyFont="1" applyFill="1" applyBorder="1" applyAlignment="1"/>
    <xf numFmtId="0" fontId="22" fillId="0" borderId="18" xfId="0" applyFont="1" applyFill="1" applyBorder="1"/>
    <xf numFmtId="0" fontId="23" fillId="0" borderId="21" xfId="0" applyFont="1" applyFill="1" applyBorder="1"/>
    <xf numFmtId="187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187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187" fontId="23" fillId="0" borderId="0" xfId="1" applyNumberFormat="1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187" fontId="19" fillId="0" borderId="0" xfId="1" applyNumberFormat="1" applyFont="1" applyFill="1"/>
    <xf numFmtId="0" fontId="20" fillId="0" borderId="0" xfId="0" applyFont="1" applyAlignment="1"/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87" fontId="19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187" fontId="28" fillId="0" borderId="13" xfId="1" applyNumberFormat="1" applyFont="1" applyFill="1" applyBorder="1"/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187" fontId="28" fillId="0" borderId="19" xfId="1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187" fontId="30" fillId="0" borderId="0" xfId="1" applyNumberFormat="1" applyFont="1"/>
    <xf numFmtId="0" fontId="30" fillId="0" borderId="0" xfId="0" applyFont="1"/>
    <xf numFmtId="0" fontId="30" fillId="0" borderId="0" xfId="0" applyFont="1" applyAlignment="1">
      <alignment shrinkToFit="1"/>
    </xf>
    <xf numFmtId="0" fontId="31" fillId="0" borderId="0" xfId="0" applyFont="1" applyAlignment="1">
      <alignment shrinkToFit="1"/>
    </xf>
    <xf numFmtId="0" fontId="30" fillId="0" borderId="1" xfId="0" applyFont="1" applyBorder="1"/>
    <xf numFmtId="0" fontId="30" fillId="0" borderId="3" xfId="0" applyFont="1" applyBorder="1"/>
    <xf numFmtId="49" fontId="30" fillId="0" borderId="9" xfId="0" applyNumberFormat="1" applyFont="1" applyBorder="1" applyAlignment="1">
      <alignment horizontal="center" shrinkToFit="1"/>
    </xf>
    <xf numFmtId="0" fontId="30" fillId="0" borderId="7" xfId="0" applyFont="1" applyBorder="1"/>
    <xf numFmtId="0" fontId="30" fillId="0" borderId="8" xfId="0" applyFont="1" applyBorder="1"/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0" fillId="0" borderId="18" xfId="0" applyNumberFormat="1" applyFont="1" applyBorder="1" applyAlignment="1">
      <alignment horizontal="center"/>
    </xf>
    <xf numFmtId="49" fontId="30" fillId="0" borderId="21" xfId="0" applyNumberFormat="1" applyFont="1" applyBorder="1"/>
    <xf numFmtId="187" fontId="30" fillId="0" borderId="9" xfId="1" applyNumberFormat="1" applyFont="1" applyBorder="1" applyAlignment="1">
      <alignment horizontal="center" vertical="center" shrinkToFit="1"/>
    </xf>
    <xf numFmtId="187" fontId="31" fillId="0" borderId="9" xfId="1" applyNumberFormat="1" applyFont="1" applyBorder="1" applyAlignment="1">
      <alignment horizontal="center" vertical="center" shrinkToFit="1"/>
    </xf>
    <xf numFmtId="49" fontId="30" fillId="0" borderId="18" xfId="0" applyNumberFormat="1" applyFont="1" applyBorder="1"/>
    <xf numFmtId="49" fontId="35" fillId="0" borderId="18" xfId="0" applyNumberFormat="1" applyFont="1" applyBorder="1"/>
    <xf numFmtId="49" fontId="35" fillId="0" borderId="21" xfId="0" applyNumberFormat="1" applyFont="1" applyBorder="1" applyAlignment="1">
      <alignment horizontal="right"/>
    </xf>
    <xf numFmtId="187" fontId="35" fillId="0" borderId="9" xfId="1" applyNumberFormat="1" applyFont="1" applyBorder="1" applyAlignment="1">
      <alignment horizontal="center" vertical="center" shrinkToFit="1"/>
    </xf>
    <xf numFmtId="187" fontId="36" fillId="0" borderId="9" xfId="1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/>
    </xf>
    <xf numFmtId="187" fontId="35" fillId="0" borderId="0" xfId="1" applyNumberFormat="1" applyFont="1"/>
    <xf numFmtId="0" fontId="35" fillId="0" borderId="0" xfId="0" applyFont="1"/>
    <xf numFmtId="49" fontId="35" fillId="0" borderId="17" xfId="0" applyNumberFormat="1" applyFont="1" applyBorder="1"/>
    <xf numFmtId="49" fontId="35" fillId="0" borderId="22" xfId="0" applyNumberFormat="1" applyFont="1" applyBorder="1" applyAlignment="1">
      <alignment horizontal="right"/>
    </xf>
    <xf numFmtId="187" fontId="35" fillId="0" borderId="19" xfId="1" applyNumberFormat="1" applyFont="1" applyBorder="1" applyAlignment="1">
      <alignment horizontal="center" vertical="center" shrinkToFit="1"/>
    </xf>
    <xf numFmtId="187" fontId="36" fillId="0" borderId="19" xfId="1" applyNumberFormat="1" applyFont="1" applyBorder="1" applyAlignment="1">
      <alignment horizontal="center" vertical="center" shrinkToFit="1"/>
    </xf>
    <xf numFmtId="187" fontId="35" fillId="0" borderId="0" xfId="0" applyNumberFormat="1" applyFont="1"/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/>
    <xf numFmtId="187" fontId="30" fillId="0" borderId="14" xfId="1" applyNumberFormat="1" applyFont="1" applyBorder="1" applyAlignment="1">
      <alignment horizontal="center" vertical="center" shrinkToFit="1"/>
    </xf>
    <xf numFmtId="187" fontId="31" fillId="0" borderId="14" xfId="1" applyNumberFormat="1" applyFont="1" applyBorder="1" applyAlignment="1">
      <alignment horizontal="center" vertical="center" shrinkToFit="1"/>
    </xf>
    <xf numFmtId="187" fontId="30" fillId="0" borderId="0" xfId="1" applyNumberFormat="1" applyFont="1" applyBorder="1"/>
    <xf numFmtId="49" fontId="30" fillId="0" borderId="23" xfId="0" applyNumberFormat="1" applyFont="1" applyBorder="1"/>
    <xf numFmtId="49" fontId="30" fillId="0" borderId="25" xfId="0" applyNumberFormat="1" applyFont="1" applyBorder="1"/>
    <xf numFmtId="187" fontId="30" fillId="0" borderId="53" xfId="1" applyNumberFormat="1" applyFont="1" applyBorder="1" applyAlignment="1">
      <alignment horizontal="center" vertical="center" shrinkToFit="1"/>
    </xf>
    <xf numFmtId="187" fontId="31" fillId="0" borderId="53" xfId="1" applyNumberFormat="1" applyFont="1" applyBorder="1" applyAlignment="1">
      <alignment horizontal="center" vertical="center" shrinkToFit="1"/>
    </xf>
    <xf numFmtId="49" fontId="30" fillId="0" borderId="7" xfId="0" applyNumberFormat="1" applyFont="1" applyBorder="1"/>
    <xf numFmtId="49" fontId="30" fillId="0" borderId="7" xfId="0" applyNumberFormat="1" applyFont="1" applyFill="1" applyBorder="1" applyAlignment="1">
      <alignment horizontal="center"/>
    </xf>
    <xf numFmtId="49" fontId="30" fillId="0" borderId="8" xfId="0" applyNumberFormat="1" applyFont="1" applyFill="1" applyBorder="1"/>
    <xf numFmtId="187" fontId="30" fillId="0" borderId="14" xfId="1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/>
    </xf>
    <xf numFmtId="187" fontId="30" fillId="2" borderId="0" xfId="1" applyNumberFormat="1" applyFont="1" applyFill="1"/>
    <xf numFmtId="0" fontId="30" fillId="2" borderId="0" xfId="0" applyFont="1" applyFill="1"/>
    <xf numFmtId="49" fontId="30" fillId="0" borderId="18" xfId="0" applyNumberFormat="1" applyFont="1" applyFill="1" applyBorder="1"/>
    <xf numFmtId="49" fontId="30" fillId="0" borderId="21" xfId="0" applyNumberFormat="1" applyFont="1" applyFill="1" applyBorder="1"/>
    <xf numFmtId="187" fontId="30" fillId="0" borderId="9" xfId="1" applyNumberFormat="1" applyFont="1" applyFill="1" applyBorder="1" applyAlignment="1">
      <alignment horizontal="center" vertical="center" shrinkToFit="1"/>
    </xf>
    <xf numFmtId="49" fontId="35" fillId="0" borderId="18" xfId="0" applyNumberFormat="1" applyFont="1" applyFill="1" applyBorder="1"/>
    <xf numFmtId="49" fontId="35" fillId="0" borderId="21" xfId="0" applyNumberFormat="1" applyFont="1" applyFill="1" applyBorder="1" applyAlignment="1">
      <alignment horizontal="right"/>
    </xf>
    <xf numFmtId="187" fontId="35" fillId="0" borderId="9" xfId="1" applyNumberFormat="1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/>
    </xf>
    <xf numFmtId="187" fontId="35" fillId="2" borderId="0" xfId="1" applyNumberFormat="1" applyFont="1" applyFill="1"/>
    <xf numFmtId="0" fontId="35" fillId="2" borderId="0" xfId="0" applyFont="1" applyFill="1"/>
    <xf numFmtId="49" fontId="35" fillId="0" borderId="17" xfId="0" applyNumberFormat="1" applyFont="1" applyFill="1" applyBorder="1"/>
    <xf numFmtId="49" fontId="35" fillId="0" borderId="22" xfId="0" applyNumberFormat="1" applyFont="1" applyFill="1" applyBorder="1" applyAlignment="1">
      <alignment horizontal="right"/>
    </xf>
    <xf numFmtId="187" fontId="35" fillId="0" borderId="19" xfId="1" applyNumberFormat="1" applyFont="1" applyFill="1" applyBorder="1" applyAlignment="1">
      <alignment horizontal="center" vertical="center" shrinkToFit="1"/>
    </xf>
    <xf numFmtId="187" fontId="35" fillId="2" borderId="0" xfId="0" applyNumberFormat="1" applyFont="1" applyFill="1" applyAlignment="1">
      <alignment horizontal="left"/>
    </xf>
    <xf numFmtId="187" fontId="31" fillId="0" borderId="14" xfId="1" applyNumberFormat="1" applyFont="1" applyFill="1" applyBorder="1" applyAlignment="1">
      <alignment horizontal="center" vertical="center" shrinkToFit="1"/>
    </xf>
    <xf numFmtId="187" fontId="37" fillId="0" borderId="14" xfId="1" applyNumberFormat="1" applyFont="1" applyFill="1" applyBorder="1" applyAlignment="1">
      <alignment horizontal="center" vertical="center" shrinkToFit="1"/>
    </xf>
    <xf numFmtId="187" fontId="31" fillId="0" borderId="9" xfId="1" applyNumberFormat="1" applyFont="1" applyFill="1" applyBorder="1" applyAlignment="1">
      <alignment horizontal="center" vertical="center" shrinkToFit="1"/>
    </xf>
    <xf numFmtId="187" fontId="30" fillId="0" borderId="0" xfId="0" applyNumberFormat="1" applyFont="1"/>
    <xf numFmtId="49" fontId="32" fillId="0" borderId="18" xfId="0" applyNumberFormat="1" applyFont="1" applyFill="1" applyBorder="1"/>
    <xf numFmtId="49" fontId="32" fillId="0" borderId="21" xfId="0" applyNumberFormat="1" applyFont="1" applyFill="1" applyBorder="1" applyAlignment="1">
      <alignment horizontal="right"/>
    </xf>
    <xf numFmtId="187" fontId="32" fillId="0" borderId="9" xfId="1" applyNumberFormat="1" applyFont="1" applyFill="1" applyBorder="1" applyAlignment="1">
      <alignment horizontal="center" vertical="center" shrinkToFit="1"/>
    </xf>
    <xf numFmtId="187" fontId="38" fillId="0" borderId="9" xfId="1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187" fontId="32" fillId="0" borderId="0" xfId="1" applyNumberFormat="1" applyFont="1"/>
    <xf numFmtId="0" fontId="32" fillId="0" borderId="0" xfId="0" applyFont="1"/>
    <xf numFmtId="49" fontId="32" fillId="0" borderId="17" xfId="0" applyNumberFormat="1" applyFont="1" applyFill="1" applyBorder="1"/>
    <xf numFmtId="49" fontId="32" fillId="0" borderId="22" xfId="0" applyNumberFormat="1" applyFont="1" applyFill="1" applyBorder="1" applyAlignment="1">
      <alignment horizontal="right"/>
    </xf>
    <xf numFmtId="187" fontId="32" fillId="0" borderId="19" xfId="1" applyNumberFormat="1" applyFont="1" applyFill="1" applyBorder="1" applyAlignment="1">
      <alignment horizontal="center" vertical="center" shrinkToFit="1"/>
    </xf>
    <xf numFmtId="187" fontId="38" fillId="0" borderId="19" xfId="1" applyNumberFormat="1" applyFont="1" applyFill="1" applyBorder="1" applyAlignment="1">
      <alignment horizontal="center" vertical="center" shrinkToFit="1"/>
    </xf>
    <xf numFmtId="187" fontId="32" fillId="0" borderId="0" xfId="0" applyNumberFormat="1" applyFont="1"/>
    <xf numFmtId="0" fontId="30" fillId="0" borderId="0" xfId="0" applyFont="1" applyFill="1" applyAlignment="1">
      <alignment horizontal="left"/>
    </xf>
    <xf numFmtId="187" fontId="30" fillId="0" borderId="0" xfId="1" applyNumberFormat="1" applyFont="1" applyFill="1" applyBorder="1"/>
    <xf numFmtId="0" fontId="30" fillId="0" borderId="0" xfId="0" applyFont="1" applyFill="1"/>
    <xf numFmtId="187" fontId="30" fillId="0" borderId="0" xfId="1" applyNumberFormat="1" applyFont="1" applyFill="1"/>
    <xf numFmtId="187" fontId="36" fillId="0" borderId="9" xfId="1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187" fontId="35" fillId="0" borderId="0" xfId="1" applyNumberFormat="1" applyFont="1" applyFill="1"/>
    <xf numFmtId="0" fontId="35" fillId="0" borderId="0" xfId="0" applyFont="1" applyFill="1"/>
    <xf numFmtId="187" fontId="36" fillId="0" borderId="19" xfId="1" applyNumberFormat="1" applyFont="1" applyFill="1" applyBorder="1" applyAlignment="1">
      <alignment horizontal="center" vertical="center" shrinkToFit="1"/>
    </xf>
    <xf numFmtId="187" fontId="35" fillId="0" borderId="0" xfId="0" applyNumberFormat="1" applyFont="1" applyFill="1"/>
    <xf numFmtId="187" fontId="30" fillId="0" borderId="54" xfId="1" applyNumberFormat="1" applyFont="1" applyFill="1" applyBorder="1"/>
    <xf numFmtId="187" fontId="38" fillId="0" borderId="57" xfId="0" applyNumberFormat="1" applyFont="1" applyBorder="1" applyAlignment="1">
      <alignment shrinkToFit="1"/>
    </xf>
    <xf numFmtId="0" fontId="31" fillId="0" borderId="0" xfId="0" applyFont="1" applyAlignment="1">
      <alignment horizontal="left"/>
    </xf>
    <xf numFmtId="187" fontId="31" fillId="0" borderId="0" xfId="1" applyNumberFormat="1" applyFont="1"/>
    <xf numFmtId="0" fontId="38" fillId="0" borderId="0" xfId="0" applyFont="1"/>
    <xf numFmtId="0" fontId="30" fillId="0" borderId="0" xfId="0" applyFont="1" applyAlignment="1"/>
    <xf numFmtId="187" fontId="30" fillId="0" borderId="0" xfId="1" applyNumberFormat="1" applyFont="1" applyAlignment="1">
      <alignment shrinkToFit="1"/>
    </xf>
    <xf numFmtId="187" fontId="31" fillId="0" borderId="11" xfId="1" applyNumberFormat="1" applyFont="1" applyBorder="1" applyAlignment="1">
      <alignment shrinkToFit="1"/>
    </xf>
    <xf numFmtId="187" fontId="31" fillId="0" borderId="0" xfId="1" applyNumberFormat="1" applyFont="1" applyBorder="1" applyAlignment="1">
      <alignment shrinkToFit="1"/>
    </xf>
    <xf numFmtId="0" fontId="39" fillId="0" borderId="0" xfId="0" applyFont="1" applyAlignment="1"/>
    <xf numFmtId="187" fontId="31" fillId="0" borderId="6" xfId="1" applyNumberFormat="1" applyFont="1" applyBorder="1" applyAlignment="1">
      <alignment shrinkToFi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shrinkToFit="1"/>
    </xf>
    <xf numFmtId="187" fontId="31" fillId="0" borderId="2" xfId="1" applyNumberFormat="1" applyFont="1" applyBorder="1" applyAlignment="1">
      <alignment shrinkToFit="1"/>
    </xf>
    <xf numFmtId="0" fontId="30" fillId="0" borderId="0" xfId="0" applyFont="1" applyBorder="1" applyAlignment="1">
      <alignment horizontal="left"/>
    </xf>
    <xf numFmtId="187" fontId="31" fillId="0" borderId="0" xfId="0" applyNumberFormat="1" applyFont="1" applyBorder="1" applyAlignment="1">
      <alignment shrinkToFit="1"/>
    </xf>
    <xf numFmtId="0" fontId="21" fillId="0" borderId="7" xfId="0" applyFont="1" applyFill="1" applyBorder="1"/>
    <xf numFmtId="0" fontId="21" fillId="0" borderId="8" xfId="0" applyFont="1" applyFill="1" applyBorder="1"/>
    <xf numFmtId="187" fontId="21" fillId="0" borderId="14" xfId="1" applyNumberFormat="1" applyFont="1" applyFill="1" applyBorder="1" applyAlignment="1"/>
    <xf numFmtId="187" fontId="21" fillId="0" borderId="14" xfId="1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187" fontId="23" fillId="0" borderId="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37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58" xfId="0" applyNumberFormat="1" applyFont="1" applyFill="1" applyBorder="1" applyAlignment="1">
      <alignment horizontal="center"/>
    </xf>
    <xf numFmtId="1" fontId="17" fillId="0" borderId="58" xfId="1" applyNumberFormat="1" applyFont="1" applyFill="1" applyBorder="1" applyAlignment="1">
      <alignment horizontal="center"/>
    </xf>
    <xf numFmtId="1" fontId="17" fillId="0" borderId="9" xfId="1" applyNumberFormat="1" applyFont="1" applyFill="1" applyBorder="1" applyAlignment="1">
      <alignment horizontal="center"/>
    </xf>
    <xf numFmtId="49" fontId="30" fillId="0" borderId="58" xfId="0" applyNumberFormat="1" applyFont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17" fillId="0" borderId="31" xfId="1" applyNumberFormat="1" applyFont="1" applyFill="1" applyBorder="1" applyAlignment="1">
      <alignment horizontal="center"/>
    </xf>
    <xf numFmtId="1" fontId="17" fillId="0" borderId="37" xfId="1" applyNumberFormat="1" applyFont="1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left"/>
    </xf>
    <xf numFmtId="1" fontId="17" fillId="0" borderId="9" xfId="1" applyNumberFormat="1" applyFont="1" applyFill="1" applyBorder="1" applyAlignment="1">
      <alignment horizontal="left"/>
    </xf>
    <xf numFmtId="1" fontId="17" fillId="0" borderId="14" xfId="1" applyNumberFormat="1" applyFont="1" applyFill="1" applyBorder="1"/>
    <xf numFmtId="1" fontId="17" fillId="0" borderId="14" xfId="1" applyNumberFormat="1" applyFont="1" applyFill="1" applyBorder="1" applyAlignment="1">
      <alignment horizontal="center"/>
    </xf>
    <xf numFmtId="1" fontId="17" fillId="0" borderId="31" xfId="1" applyNumberFormat="1" applyFont="1" applyFill="1" applyBorder="1" applyAlignment="1">
      <alignment horizontal="left"/>
    </xf>
    <xf numFmtId="1" fontId="17" fillId="0" borderId="9" xfId="1" quotePrefix="1" applyNumberFormat="1" applyFont="1" applyFill="1" applyBorder="1" applyAlignment="1">
      <alignment horizontal="left"/>
    </xf>
    <xf numFmtId="1" fontId="17" fillId="0" borderId="10" xfId="1" applyNumberFormat="1" applyFont="1" applyFill="1" applyBorder="1" applyAlignment="1">
      <alignment horizontal="center"/>
    </xf>
    <xf numFmtId="1" fontId="17" fillId="0" borderId="9" xfId="1" quotePrefix="1" applyNumberFormat="1" applyFont="1" applyFill="1" applyBorder="1" applyAlignment="1">
      <alignment horizontal="center"/>
    </xf>
    <xf numFmtId="1" fontId="17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43" fontId="7" fillId="0" borderId="15" xfId="1" applyFont="1" applyFill="1" applyBorder="1" applyAlignment="1">
      <alignment horizontal="center" vertical="center"/>
    </xf>
    <xf numFmtId="43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43" fontId="7" fillId="0" borderId="4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43" fontId="7" fillId="0" borderId="7" xfId="1" applyFont="1" applyFill="1" applyBorder="1" applyAlignment="1">
      <alignment horizontal="center" vertical="center"/>
    </xf>
    <xf numFmtId="43" fontId="7" fillId="0" borderId="8" xfId="1" applyFont="1" applyFill="1" applyBorder="1" applyAlignment="1">
      <alignment horizontal="center" vertical="center"/>
    </xf>
    <xf numFmtId="43" fontId="7" fillId="0" borderId="17" xfId="1" applyFont="1" applyFill="1" applyBorder="1" applyAlignment="1">
      <alignment horizontal="center" vertical="center"/>
    </xf>
    <xf numFmtId="43" fontId="7" fillId="0" borderId="22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43" fontId="10" fillId="0" borderId="18" xfId="1" applyFont="1" applyFill="1" applyBorder="1" applyAlignment="1">
      <alignment horizontal="center" vertical="center"/>
    </xf>
    <xf numFmtId="43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3" fontId="7" fillId="0" borderId="4" xfId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3" fontId="7" fillId="0" borderId="18" xfId="1" applyFont="1" applyFill="1" applyBorder="1" applyAlignment="1">
      <alignment horizontal="center" vertical="center"/>
    </xf>
    <xf numFmtId="43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187" fontId="2" fillId="0" borderId="1" xfId="2" applyNumberFormat="1" applyFont="1" applyBorder="1" applyAlignment="1">
      <alignment horizontal="center" vertical="center"/>
    </xf>
    <xf numFmtId="187" fontId="2" fillId="0" borderId="3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187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187" fontId="2" fillId="0" borderId="4" xfId="2" applyNumberFormat="1" applyFont="1" applyBorder="1" applyAlignment="1">
      <alignment horizontal="center" vertical="center"/>
    </xf>
    <xf numFmtId="187" fontId="2" fillId="0" borderId="5" xfId="2" applyNumberFormat="1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187" fontId="2" fillId="0" borderId="18" xfId="2" applyNumberFormat="1" applyFont="1" applyBorder="1" applyAlignment="1">
      <alignment horizontal="center" vertical="center"/>
    </xf>
    <xf numFmtId="187" fontId="2" fillId="0" borderId="21" xfId="2" applyNumberFormat="1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43" fontId="2" fillId="0" borderId="1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17" xfId="2" applyNumberFormat="1" applyFont="1" applyBorder="1" applyAlignment="1">
      <alignment horizontal="center" vertical="center"/>
    </xf>
    <xf numFmtId="187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187" fontId="14" fillId="0" borderId="0" xfId="1" applyNumberFormat="1" applyFont="1" applyFill="1" applyAlignment="1">
      <alignment horizontal="center"/>
    </xf>
    <xf numFmtId="187" fontId="14" fillId="0" borderId="29" xfId="1" applyNumberFormat="1" applyFont="1" applyFill="1" applyBorder="1" applyAlignment="1">
      <alignment horizontal="center"/>
    </xf>
    <xf numFmtId="187" fontId="17" fillId="0" borderId="31" xfId="1" applyNumberFormat="1" applyFont="1" applyFill="1" applyBorder="1" applyAlignment="1">
      <alignment horizontal="center"/>
    </xf>
    <xf numFmtId="187" fontId="17" fillId="0" borderId="32" xfId="1" applyNumberFormat="1" applyFont="1" applyFill="1" applyBorder="1" applyAlignment="1">
      <alignment horizontal="center"/>
    </xf>
    <xf numFmtId="187" fontId="17" fillId="0" borderId="33" xfId="1" applyNumberFormat="1" applyFont="1" applyFill="1" applyBorder="1" applyAlignment="1">
      <alignment horizontal="center"/>
    </xf>
    <xf numFmtId="187" fontId="17" fillId="0" borderId="34" xfId="1" applyNumberFormat="1" applyFont="1" applyFill="1" applyBorder="1" applyAlignment="1">
      <alignment horizontal="center"/>
    </xf>
    <xf numFmtId="187" fontId="17" fillId="0" borderId="35" xfId="1" applyNumberFormat="1" applyFont="1" applyFill="1" applyBorder="1" applyAlignment="1">
      <alignment horizontal="center" vertical="center"/>
    </xf>
    <xf numFmtId="187" fontId="17" fillId="0" borderId="38" xfId="1" applyNumberFormat="1" applyFont="1" applyFill="1" applyBorder="1" applyAlignment="1">
      <alignment horizontal="center" vertical="center"/>
    </xf>
    <xf numFmtId="187" fontId="17" fillId="0" borderId="44" xfId="1" applyNumberFormat="1" applyFont="1" applyFill="1" applyBorder="1" applyAlignment="1">
      <alignment horizontal="center" vertical="center"/>
    </xf>
    <xf numFmtId="187" fontId="17" fillId="0" borderId="45" xfId="1" applyNumberFormat="1" applyFont="1" applyFill="1" applyBorder="1" applyAlignment="1">
      <alignment horizontal="center" vertical="center"/>
    </xf>
    <xf numFmtId="187" fontId="14" fillId="0" borderId="60" xfId="1" applyNumberFormat="1" applyFont="1" applyFill="1" applyBorder="1" applyAlignment="1">
      <alignment horizontal="center"/>
    </xf>
    <xf numFmtId="187" fontId="14" fillId="0" borderId="59" xfId="1" applyNumberFormat="1" applyFont="1" applyFill="1" applyBorder="1" applyAlignment="1">
      <alignment horizontal="center"/>
    </xf>
    <xf numFmtId="187" fontId="14" fillId="0" borderId="43" xfId="1" applyNumberFormat="1" applyFont="1" applyFill="1" applyBorder="1" applyAlignment="1">
      <alignment horizontal="center"/>
    </xf>
    <xf numFmtId="187" fontId="14" fillId="0" borderId="4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49" fontId="30" fillId="0" borderId="18" xfId="0" applyNumberFormat="1" applyFont="1" applyBorder="1" applyAlignment="1">
      <alignment horizontal="center" shrinkToFit="1"/>
    </xf>
    <xf numFmtId="49" fontId="30" fillId="0" borderId="21" xfId="0" applyNumberFormat="1" applyFont="1" applyBorder="1" applyAlignment="1">
      <alignment horizontal="center" shrinkToFit="1"/>
    </xf>
    <xf numFmtId="49" fontId="30" fillId="0" borderId="20" xfId="0" applyNumberFormat="1" applyFont="1" applyBorder="1" applyAlignment="1">
      <alignment horizont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shrinkToFit="1"/>
    </xf>
    <xf numFmtId="0" fontId="30" fillId="0" borderId="0" xfId="0" applyFont="1" applyAlignment="1">
      <alignment horizontal="center"/>
    </xf>
    <xf numFmtId="0" fontId="21" fillId="0" borderId="13" xfId="0" applyFont="1" applyFill="1" applyBorder="1"/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44</xdr:row>
      <xdr:rowOff>95265</xdr:rowOff>
    </xdr:from>
    <xdr:to>
      <xdr:col>10</xdr:col>
      <xdr:colOff>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105400" y="12553965"/>
          <a:ext cx="11525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C18" workbookViewId="0">
      <selection activeCell="F60" sqref="F60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386" t="s">
        <v>83</v>
      </c>
      <c r="B2" s="386"/>
      <c r="C2" s="386"/>
      <c r="D2" s="386"/>
      <c r="E2" s="386"/>
      <c r="F2" s="386"/>
      <c r="G2" s="386"/>
      <c r="H2" s="386"/>
      <c r="I2" s="386"/>
    </row>
    <row r="3" spans="1:12" ht="23.1" customHeight="1">
      <c r="A3" s="386" t="s">
        <v>82</v>
      </c>
      <c r="B3" s="386"/>
      <c r="C3" s="386"/>
      <c r="D3" s="386"/>
      <c r="E3" s="386"/>
      <c r="F3" s="386"/>
      <c r="G3" s="386"/>
      <c r="H3" s="386"/>
      <c r="I3" s="386"/>
    </row>
    <row r="4" spans="1:12" ht="23.1" customHeight="1">
      <c r="A4" s="387" t="s">
        <v>198</v>
      </c>
      <c r="B4" s="387"/>
      <c r="C4" s="387"/>
      <c r="D4" s="387"/>
      <c r="E4" s="387"/>
      <c r="F4" s="387"/>
      <c r="G4" s="387"/>
      <c r="H4" s="387"/>
      <c r="I4" s="387"/>
    </row>
    <row r="5" spans="1:12" ht="23.1" customHeight="1">
      <c r="A5" s="386" t="s">
        <v>81</v>
      </c>
      <c r="B5" s="386"/>
      <c r="C5" s="386"/>
      <c r="D5" s="386"/>
      <c r="E5" s="386"/>
      <c r="F5" s="386"/>
      <c r="G5" s="386"/>
      <c r="H5" s="386"/>
      <c r="I5" s="386"/>
    </row>
    <row r="6" spans="1:12" ht="23.1" customHeight="1" thickBot="1">
      <c r="A6" s="388" t="s">
        <v>414</v>
      </c>
      <c r="B6" s="388"/>
      <c r="C6" s="388"/>
      <c r="D6" s="388"/>
      <c r="E6" s="388"/>
      <c r="F6" s="388"/>
      <c r="G6" s="388"/>
      <c r="H6" s="388"/>
      <c r="I6" s="388"/>
    </row>
    <row r="7" spans="1:12" ht="21" thickTop="1">
      <c r="A7" s="389" t="s">
        <v>73</v>
      </c>
      <c r="B7" s="390"/>
      <c r="C7" s="390"/>
      <c r="D7" s="391"/>
      <c r="E7" s="392" t="s">
        <v>72</v>
      </c>
      <c r="F7" s="393"/>
      <c r="G7" s="398" t="s">
        <v>2</v>
      </c>
      <c r="H7" s="401" t="s">
        <v>71</v>
      </c>
      <c r="I7" s="402"/>
    </row>
    <row r="8" spans="1:12" ht="20.25">
      <c r="A8" s="403" t="s">
        <v>70</v>
      </c>
      <c r="B8" s="404"/>
      <c r="C8" s="33" t="s">
        <v>69</v>
      </c>
      <c r="D8" s="33"/>
      <c r="E8" s="394"/>
      <c r="F8" s="395"/>
      <c r="G8" s="399"/>
      <c r="H8" s="374" t="s">
        <v>69</v>
      </c>
      <c r="I8" s="375"/>
    </row>
    <row r="9" spans="1:12" ht="21" thickBot="1">
      <c r="A9" s="376" t="s">
        <v>27</v>
      </c>
      <c r="B9" s="377"/>
      <c r="C9" s="34" t="s">
        <v>27</v>
      </c>
      <c r="D9" s="34"/>
      <c r="E9" s="396"/>
      <c r="F9" s="397"/>
      <c r="G9" s="400"/>
      <c r="H9" s="378" t="s">
        <v>27</v>
      </c>
      <c r="I9" s="379"/>
    </row>
    <row r="10" spans="1:12" ht="24" customHeight="1" thickTop="1">
      <c r="A10" s="67"/>
      <c r="B10" s="74"/>
      <c r="C10" s="380">
        <v>18041683.370000001</v>
      </c>
      <c r="D10" s="381"/>
      <c r="E10" s="382" t="s">
        <v>56</v>
      </c>
      <c r="F10" s="383"/>
      <c r="G10" s="35"/>
      <c r="H10" s="384">
        <v>28126537.039999999</v>
      </c>
      <c r="I10" s="385"/>
    </row>
    <row r="11" spans="1:12" ht="24.95" customHeight="1">
      <c r="A11" s="67"/>
      <c r="B11" s="75"/>
      <c r="C11" s="33"/>
      <c r="D11" s="36"/>
      <c r="E11" s="407" t="s">
        <v>80</v>
      </c>
      <c r="F11" s="408"/>
      <c r="G11" s="37"/>
      <c r="H11" s="384"/>
      <c r="I11" s="385"/>
    </row>
    <row r="12" spans="1:12" ht="24.95" customHeight="1">
      <c r="A12" s="67">
        <v>167000</v>
      </c>
      <c r="B12" s="37" t="s">
        <v>5</v>
      </c>
      <c r="C12" s="384">
        <f>14543.49+211.82+680.85+6264.71+41786.03+97746.61+34373.58+10394.31</f>
        <v>206001.40000000002</v>
      </c>
      <c r="D12" s="385"/>
      <c r="E12" s="405" t="s">
        <v>129</v>
      </c>
      <c r="F12" s="406"/>
      <c r="G12" s="37" t="s">
        <v>116</v>
      </c>
      <c r="H12" s="384">
        <v>10394.31</v>
      </c>
      <c r="I12" s="385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84">
        <f>80+61904+300+15690+1450</f>
        <v>79424</v>
      </c>
      <c r="D13" s="385"/>
      <c r="E13" s="405" t="s">
        <v>128</v>
      </c>
      <c r="F13" s="406"/>
      <c r="G13" s="37" t="s">
        <v>117</v>
      </c>
      <c r="H13" s="384">
        <v>1450</v>
      </c>
      <c r="I13" s="385"/>
      <c r="J13" s="39"/>
      <c r="K13" s="39"/>
    </row>
    <row r="14" spans="1:12" ht="24.95" customHeight="1">
      <c r="A14" s="67">
        <v>70000</v>
      </c>
      <c r="B14" s="37" t="s">
        <v>5</v>
      </c>
      <c r="C14" s="384">
        <f>48231.77+21078.47+27378.64+33050.14+18274.52</f>
        <v>148013.53999999998</v>
      </c>
      <c r="D14" s="385"/>
      <c r="E14" s="405" t="s">
        <v>127</v>
      </c>
      <c r="F14" s="406"/>
      <c r="G14" s="37" t="s">
        <v>118</v>
      </c>
      <c r="H14" s="384">
        <v>18274.52</v>
      </c>
      <c r="I14" s="385"/>
      <c r="J14" s="39"/>
      <c r="K14" s="39"/>
    </row>
    <row r="15" spans="1:12" ht="24.95" customHeight="1">
      <c r="A15" s="67">
        <v>320000</v>
      </c>
      <c r="B15" s="37" t="s">
        <v>5</v>
      </c>
      <c r="C15" s="384">
        <f>40440+62700+38185+45135+43835+35450+35740+77000</f>
        <v>378485</v>
      </c>
      <c r="D15" s="385"/>
      <c r="E15" s="405" t="s">
        <v>126</v>
      </c>
      <c r="F15" s="406"/>
      <c r="G15" s="37" t="s">
        <v>119</v>
      </c>
      <c r="H15" s="384">
        <v>77000</v>
      </c>
      <c r="I15" s="385"/>
      <c r="J15" s="39"/>
      <c r="K15" s="39"/>
    </row>
    <row r="16" spans="1:12" ht="24.95" customHeight="1">
      <c r="A16" s="67">
        <v>21000</v>
      </c>
      <c r="B16" s="37" t="s">
        <v>5</v>
      </c>
      <c r="C16" s="384">
        <f>2700+1100+3500+35800+4200</f>
        <v>47300</v>
      </c>
      <c r="D16" s="385"/>
      <c r="E16" s="405" t="s">
        <v>125</v>
      </c>
      <c r="F16" s="406"/>
      <c r="G16" s="37" t="s">
        <v>120</v>
      </c>
      <c r="H16" s="384">
        <v>4200</v>
      </c>
      <c r="I16" s="385"/>
      <c r="J16" s="39"/>
      <c r="K16" s="39"/>
    </row>
    <row r="17" spans="1:11" ht="24.95" customHeight="1">
      <c r="A17" s="67">
        <v>10937000</v>
      </c>
      <c r="B17" s="37" t="s">
        <v>5</v>
      </c>
      <c r="C17" s="384">
        <f>1118038.65+604794.53+765596.5+2534736.02+69551.3+1307979.63+38342.17+3846231.17</f>
        <v>10285269.969999999</v>
      </c>
      <c r="D17" s="385"/>
      <c r="E17" s="405" t="s">
        <v>124</v>
      </c>
      <c r="F17" s="406"/>
      <c r="G17" s="37" t="s">
        <v>121</v>
      </c>
      <c r="H17" s="384">
        <f>500580.08+2529703.13+247368.13+515546.8+31297.03+21736</f>
        <v>3846231.1699999995</v>
      </c>
      <c r="I17" s="385"/>
      <c r="J17" s="39"/>
      <c r="K17" s="39"/>
    </row>
    <row r="18" spans="1:11" ht="24.95" customHeight="1">
      <c r="A18" s="67">
        <v>10700000</v>
      </c>
      <c r="B18" s="37" t="s">
        <v>5</v>
      </c>
      <c r="C18" s="409">
        <f>4430138.43+6562062</f>
        <v>10992200.43</v>
      </c>
      <c r="D18" s="410"/>
      <c r="E18" s="405" t="s">
        <v>123</v>
      </c>
      <c r="F18" s="406"/>
      <c r="G18" s="37" t="s">
        <v>122</v>
      </c>
      <c r="H18" s="409">
        <v>0</v>
      </c>
      <c r="I18" s="410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411">
        <f>SUM(C12:C18)</f>
        <v>22136694.339999996</v>
      </c>
      <c r="D19" s="412"/>
      <c r="E19" s="405"/>
      <c r="F19" s="406"/>
      <c r="G19" s="37"/>
      <c r="H19" s="411">
        <f>SUM(H12:H18)</f>
        <v>3957549.9999999995</v>
      </c>
      <c r="I19" s="412"/>
      <c r="J19" s="39"/>
      <c r="K19" s="39"/>
    </row>
    <row r="20" spans="1:11" ht="24" hidden="1" customHeight="1">
      <c r="A20" s="69"/>
      <c r="B20" s="77"/>
      <c r="C20" s="380">
        <v>0</v>
      </c>
      <c r="D20" s="381"/>
      <c r="E20" s="405" t="s">
        <v>79</v>
      </c>
      <c r="F20" s="406"/>
      <c r="G20" s="37" t="s">
        <v>78</v>
      </c>
      <c r="H20" s="384" t="s">
        <v>5</v>
      </c>
      <c r="I20" s="385"/>
      <c r="J20" s="39"/>
      <c r="K20" s="39"/>
    </row>
    <row r="21" spans="1:11" ht="24.95" customHeight="1" thickTop="1">
      <c r="A21" s="69"/>
      <c r="B21" s="78"/>
      <c r="C21" s="384">
        <f>2673500+286563.5+199050+583000+2897862+1038+850142</f>
        <v>7491155.5</v>
      </c>
      <c r="D21" s="385"/>
      <c r="E21" s="405" t="s">
        <v>171</v>
      </c>
      <c r="F21" s="406"/>
      <c r="G21" s="37" t="s">
        <v>130</v>
      </c>
      <c r="H21" s="384">
        <f>57660+32340+3600+149120+90880+160042+56000+300500</f>
        <v>850142</v>
      </c>
      <c r="I21" s="385"/>
      <c r="J21" s="39"/>
      <c r="K21" s="39"/>
    </row>
    <row r="22" spans="1:11" ht="20.25" hidden="1">
      <c r="A22" s="69"/>
      <c r="B22" s="78"/>
      <c r="C22" s="384"/>
      <c r="D22" s="385"/>
      <c r="E22" s="52" t="s">
        <v>162</v>
      </c>
      <c r="F22" s="53"/>
      <c r="G22" s="37"/>
      <c r="H22" s="384"/>
      <c r="I22" s="385"/>
      <c r="J22" s="39"/>
      <c r="K22" s="39"/>
    </row>
    <row r="23" spans="1:11" ht="20.25">
      <c r="A23" s="69"/>
      <c r="B23" s="78"/>
      <c r="C23" s="384">
        <f>11271.32+1927.98+568.91+12001+7325.73+21454.43+6288.42+47753.06</f>
        <v>108590.85</v>
      </c>
      <c r="D23" s="385"/>
      <c r="E23" s="405" t="s">
        <v>66</v>
      </c>
      <c r="F23" s="406"/>
      <c r="G23" s="37" t="s">
        <v>144</v>
      </c>
      <c r="H23" s="384">
        <f>'หมายเหตุ 2'!D12</f>
        <v>47753.05999999999</v>
      </c>
      <c r="I23" s="385"/>
      <c r="J23" s="39"/>
      <c r="K23" s="39"/>
    </row>
    <row r="24" spans="1:11" ht="20.25">
      <c r="A24" s="69"/>
      <c r="B24" s="78"/>
      <c r="C24" s="384">
        <f>104600+30000+6870+61800</f>
        <v>203270</v>
      </c>
      <c r="D24" s="385"/>
      <c r="E24" s="405" t="s">
        <v>75</v>
      </c>
      <c r="F24" s="406"/>
      <c r="G24" s="37" t="s">
        <v>131</v>
      </c>
      <c r="H24" s="384">
        <f>1800+60000</f>
        <v>61800</v>
      </c>
      <c r="I24" s="385"/>
      <c r="J24" s="39"/>
      <c r="K24" s="39"/>
    </row>
    <row r="25" spans="1:11" ht="24.95" customHeight="1">
      <c r="A25" s="85"/>
      <c r="B25" s="78"/>
      <c r="C25" s="384">
        <f>1062500+138600+285000+90000+530500</f>
        <v>2106600</v>
      </c>
      <c r="D25" s="385"/>
      <c r="E25" s="405" t="s">
        <v>76</v>
      </c>
      <c r="F25" s="406"/>
      <c r="G25" s="37" t="s">
        <v>175</v>
      </c>
      <c r="H25" s="384">
        <f>51000+43000+436500</f>
        <v>530500</v>
      </c>
      <c r="I25" s="385"/>
      <c r="J25" s="39"/>
      <c r="K25" s="39"/>
    </row>
    <row r="26" spans="1:11" ht="20.25" hidden="1">
      <c r="A26" s="85"/>
      <c r="B26" s="78"/>
      <c r="C26" s="384"/>
      <c r="D26" s="385"/>
      <c r="E26" s="405" t="s">
        <v>159</v>
      </c>
      <c r="F26" s="406"/>
      <c r="G26" s="37" t="s">
        <v>161</v>
      </c>
      <c r="H26" s="384"/>
      <c r="I26" s="385"/>
      <c r="J26" s="39">
        <f>C26+H26</f>
        <v>0</v>
      </c>
      <c r="K26" s="39" t="e">
        <v>#VALUE!</v>
      </c>
    </row>
    <row r="27" spans="1:11" ht="20.25">
      <c r="A27" s="85"/>
      <c r="B27" s="78"/>
      <c r="C27" s="384">
        <f>4800</f>
        <v>4800</v>
      </c>
      <c r="D27" s="385"/>
      <c r="E27" s="405" t="s">
        <v>387</v>
      </c>
      <c r="F27" s="406"/>
      <c r="G27" s="37" t="s">
        <v>389</v>
      </c>
      <c r="H27" s="384">
        <v>0</v>
      </c>
      <c r="I27" s="385"/>
      <c r="J27" s="39"/>
      <c r="K27" s="39"/>
    </row>
    <row r="28" spans="1:11" ht="20.25">
      <c r="A28" s="85"/>
      <c r="B28" s="78"/>
      <c r="C28" s="384">
        <f>9987.1</f>
        <v>9987.1</v>
      </c>
      <c r="D28" s="385"/>
      <c r="E28" s="342" t="s">
        <v>388</v>
      </c>
      <c r="F28" s="53"/>
      <c r="G28" s="37" t="s">
        <v>136</v>
      </c>
      <c r="H28" s="384">
        <v>0</v>
      </c>
      <c r="I28" s="385"/>
      <c r="J28" s="39"/>
      <c r="K28" s="39"/>
    </row>
    <row r="29" spans="1:11" ht="20.25">
      <c r="A29" s="85"/>
      <c r="B29" s="78"/>
      <c r="C29" s="384">
        <v>24</v>
      </c>
      <c r="D29" s="385"/>
      <c r="E29" s="369" t="s">
        <v>394</v>
      </c>
      <c r="F29" s="53"/>
      <c r="G29" s="37"/>
      <c r="H29" s="384">
        <v>0</v>
      </c>
      <c r="I29" s="385"/>
      <c r="J29" s="39"/>
      <c r="K29" s="39"/>
    </row>
    <row r="30" spans="1:11" ht="20.25">
      <c r="A30" s="85"/>
      <c r="B30" s="78"/>
      <c r="C30" s="384">
        <v>1038</v>
      </c>
      <c r="D30" s="385"/>
      <c r="E30" s="45" t="s">
        <v>159</v>
      </c>
      <c r="F30" s="37"/>
      <c r="G30" s="37" t="s">
        <v>161</v>
      </c>
      <c r="H30" s="384">
        <v>1038</v>
      </c>
      <c r="I30" s="385"/>
      <c r="J30" s="39"/>
      <c r="K30" s="39"/>
    </row>
    <row r="31" spans="1:11" ht="20.25">
      <c r="A31" s="85"/>
      <c r="B31" s="78"/>
      <c r="C31" s="384"/>
      <c r="D31" s="385"/>
      <c r="E31" s="52"/>
      <c r="F31" s="53"/>
      <c r="G31" s="37"/>
      <c r="H31" s="384"/>
      <c r="I31" s="385"/>
      <c r="J31" s="39"/>
      <c r="K31" s="39"/>
    </row>
    <row r="32" spans="1:11" ht="20.25">
      <c r="A32" s="85"/>
      <c r="B32" s="78"/>
      <c r="C32" s="384"/>
      <c r="D32" s="385"/>
      <c r="E32" s="52"/>
      <c r="F32" s="53"/>
      <c r="G32" s="37"/>
      <c r="H32" s="384"/>
      <c r="I32" s="385"/>
      <c r="J32" s="39"/>
      <c r="K32" s="39"/>
    </row>
    <row r="33" spans="1:12" ht="20.25">
      <c r="A33" s="85"/>
      <c r="B33" s="78"/>
      <c r="C33" s="384"/>
      <c r="D33" s="385"/>
      <c r="E33" s="52"/>
      <c r="F33" s="53"/>
      <c r="G33" s="37"/>
      <c r="H33" s="384"/>
      <c r="I33" s="385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69"/>
      <c r="B37" s="78"/>
      <c r="C37" s="384"/>
      <c r="D37" s="385"/>
      <c r="E37" s="405" t="s">
        <v>75</v>
      </c>
      <c r="F37" s="406"/>
      <c r="G37" s="37" t="s">
        <v>131</v>
      </c>
      <c r="H37" s="384"/>
      <c r="I37" s="385"/>
      <c r="J37" s="39">
        <f t="shared" ref="J37:J44" si="0">C37+H37</f>
        <v>0</v>
      </c>
      <c r="K37" s="39" t="e">
        <v>#VALUE!</v>
      </c>
      <c r="L37" s="32">
        <v>123028</v>
      </c>
    </row>
    <row r="38" spans="1:12" s="62" customFormat="1" ht="24.95" hidden="1" customHeight="1">
      <c r="A38" s="69"/>
      <c r="B38" s="78"/>
      <c r="C38" s="384"/>
      <c r="D38" s="385"/>
      <c r="E38" s="405" t="s">
        <v>76</v>
      </c>
      <c r="F38" s="406"/>
      <c r="G38" s="60">
        <v>110607</v>
      </c>
      <c r="H38" s="384"/>
      <c r="I38" s="385"/>
      <c r="J38" s="61">
        <f t="shared" si="0"/>
        <v>0</v>
      </c>
      <c r="K38" s="61" t="e">
        <v>#VALUE!</v>
      </c>
      <c r="L38" s="62">
        <v>6560</v>
      </c>
    </row>
    <row r="39" spans="1:12" ht="24.95" hidden="1" customHeight="1">
      <c r="A39" s="69"/>
      <c r="B39" s="78"/>
      <c r="C39" s="384"/>
      <c r="D39" s="385"/>
      <c r="E39" s="405" t="s">
        <v>14</v>
      </c>
      <c r="F39" s="406"/>
      <c r="G39" s="37" t="s">
        <v>160</v>
      </c>
      <c r="H39" s="419"/>
      <c r="I39" s="420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69"/>
      <c r="B40" s="78"/>
      <c r="C40" s="384"/>
      <c r="D40" s="385"/>
      <c r="E40" s="52" t="s">
        <v>163</v>
      </c>
      <c r="F40" s="53"/>
      <c r="G40" s="37" t="s">
        <v>137</v>
      </c>
      <c r="H40" s="384"/>
      <c r="I40" s="385"/>
      <c r="J40" s="39">
        <f t="shared" si="0"/>
        <v>0</v>
      </c>
      <c r="K40" s="39"/>
    </row>
    <row r="41" spans="1:12" ht="24" hidden="1" customHeight="1">
      <c r="A41" s="69"/>
      <c r="B41" s="78"/>
      <c r="C41" s="384"/>
      <c r="D41" s="385"/>
      <c r="E41" s="52" t="s">
        <v>168</v>
      </c>
      <c r="F41" s="53"/>
      <c r="G41" s="37"/>
      <c r="H41" s="384"/>
      <c r="I41" s="385"/>
      <c r="J41" s="39">
        <f t="shared" si="0"/>
        <v>0</v>
      </c>
      <c r="K41" s="39"/>
    </row>
    <row r="42" spans="1:12" ht="24" hidden="1" customHeight="1">
      <c r="A42" s="69"/>
      <c r="B42" s="78"/>
      <c r="C42" s="384"/>
      <c r="D42" s="385"/>
      <c r="E42" s="52" t="s">
        <v>169</v>
      </c>
      <c r="F42" s="53"/>
      <c r="G42" s="37"/>
      <c r="H42" s="384"/>
      <c r="I42" s="385"/>
      <c r="J42" s="39">
        <f t="shared" si="0"/>
        <v>0</v>
      </c>
      <c r="K42" s="39"/>
    </row>
    <row r="43" spans="1:12" ht="24" customHeight="1">
      <c r="A43" s="69"/>
      <c r="B43" s="78"/>
      <c r="C43" s="413">
        <f>SUM(C21:C42)</f>
        <v>9925465.4499999993</v>
      </c>
      <c r="D43" s="414"/>
      <c r="E43" s="405"/>
      <c r="F43" s="406"/>
      <c r="G43" s="37"/>
      <c r="H43" s="413">
        <f>SUM(H21:H42)</f>
        <v>1491233.06</v>
      </c>
      <c r="I43" s="414"/>
      <c r="J43" s="39">
        <f t="shared" si="0"/>
        <v>11416698.51</v>
      </c>
      <c r="K43" s="39">
        <v>4680486.28</v>
      </c>
    </row>
    <row r="44" spans="1:12" s="55" customFormat="1" ht="24" customHeight="1">
      <c r="A44" s="70"/>
      <c r="B44" s="80"/>
      <c r="C44" s="415">
        <f>C19+C43</f>
        <v>32062159.789999995</v>
      </c>
      <c r="D44" s="416"/>
      <c r="E44" s="417" t="s">
        <v>74</v>
      </c>
      <c r="F44" s="418"/>
      <c r="G44" s="86"/>
      <c r="H44" s="415">
        <f>H19+H43</f>
        <v>5448783.0599999996</v>
      </c>
      <c r="I44" s="416"/>
      <c r="J44" s="54">
        <f t="shared" si="0"/>
        <v>37510942.849999994</v>
      </c>
      <c r="K44" s="54">
        <v>12809507.25</v>
      </c>
      <c r="L44" s="55">
        <v>173910</v>
      </c>
    </row>
    <row r="45" spans="1:12" ht="17.100000000000001" customHeight="1">
      <c r="A45" s="421" t="s">
        <v>73</v>
      </c>
      <c r="B45" s="422"/>
      <c r="C45" s="422"/>
      <c r="D45" s="423"/>
      <c r="E45" s="424" t="s">
        <v>72</v>
      </c>
      <c r="F45" s="425"/>
      <c r="G45" s="428" t="s">
        <v>2</v>
      </c>
      <c r="H45" s="430" t="s">
        <v>71</v>
      </c>
      <c r="I45" s="431"/>
    </row>
    <row r="46" spans="1:12" ht="17.100000000000001" customHeight="1">
      <c r="A46" s="432" t="s">
        <v>70</v>
      </c>
      <c r="B46" s="433"/>
      <c r="C46" s="374" t="s">
        <v>69</v>
      </c>
      <c r="D46" s="375"/>
      <c r="E46" s="394"/>
      <c r="F46" s="395"/>
      <c r="G46" s="399"/>
      <c r="H46" s="434" t="s">
        <v>69</v>
      </c>
      <c r="I46" s="435"/>
    </row>
    <row r="47" spans="1:12" ht="17.100000000000001" customHeight="1">
      <c r="A47" s="436" t="s">
        <v>27</v>
      </c>
      <c r="B47" s="437"/>
      <c r="C47" s="438" t="s">
        <v>27</v>
      </c>
      <c r="D47" s="439"/>
      <c r="E47" s="426"/>
      <c r="F47" s="427"/>
      <c r="G47" s="429"/>
      <c r="H47" s="438" t="s">
        <v>27</v>
      </c>
      <c r="I47" s="439"/>
    </row>
    <row r="48" spans="1:12" ht="17.100000000000001" customHeight="1">
      <c r="A48" s="67"/>
      <c r="B48" s="75"/>
      <c r="C48" s="41"/>
      <c r="D48" s="36"/>
      <c r="E48" s="42" t="s">
        <v>68</v>
      </c>
      <c r="F48" s="36"/>
      <c r="G48" s="37"/>
      <c r="H48" s="384"/>
      <c r="I48" s="385"/>
    </row>
    <row r="49" spans="1:13" ht="23.1" customHeight="1">
      <c r="A49" s="67">
        <v>1325270</v>
      </c>
      <c r="B49" s="37" t="s">
        <v>5</v>
      </c>
      <c r="C49" s="384">
        <f>132218+103728+17358+40910+12314+27768+98423</f>
        <v>432719</v>
      </c>
      <c r="D49" s="385"/>
      <c r="E49" s="42"/>
      <c r="F49" s="36" t="s">
        <v>6</v>
      </c>
      <c r="G49" s="37" t="s">
        <v>132</v>
      </c>
      <c r="H49" s="384">
        <f>38423+60000</f>
        <v>98423</v>
      </c>
      <c r="I49" s="385"/>
      <c r="J49" s="39"/>
      <c r="K49" s="39"/>
    </row>
    <row r="50" spans="1:13" ht="23.1" customHeight="1">
      <c r="A50" s="67">
        <v>2052720</v>
      </c>
      <c r="B50" s="37" t="s">
        <v>5</v>
      </c>
      <c r="C50" s="384">
        <f>182919.01+187797.1+171060+171060+171060+171060+171060</f>
        <v>1226016.1099999999</v>
      </c>
      <c r="D50" s="385"/>
      <c r="E50" s="44"/>
      <c r="F50" s="36" t="s">
        <v>133</v>
      </c>
      <c r="G50" s="37" t="s">
        <v>135</v>
      </c>
      <c r="H50" s="384">
        <v>171060</v>
      </c>
      <c r="I50" s="385"/>
      <c r="J50" s="39"/>
      <c r="K50" s="39"/>
      <c r="L50" s="384"/>
      <c r="M50" s="385"/>
    </row>
    <row r="51" spans="1:13" ht="23.1" customHeight="1">
      <c r="A51" s="67">
        <f>1845240+861240+176160+399000</f>
        <v>3281640</v>
      </c>
      <c r="B51" s="37" t="s">
        <v>5</v>
      </c>
      <c r="C51" s="384">
        <f>243555+243555+243625+250164+248689+248585+258025.32+256885</f>
        <v>1993083.32</v>
      </c>
      <c r="D51" s="385"/>
      <c r="E51" s="44"/>
      <c r="F51" s="36" t="s">
        <v>134</v>
      </c>
      <c r="G51" s="37" t="s">
        <v>136</v>
      </c>
      <c r="H51" s="384">
        <v>256885</v>
      </c>
      <c r="I51" s="385"/>
      <c r="J51" s="39"/>
      <c r="K51" s="39"/>
    </row>
    <row r="52" spans="1:13" ht="23.1" customHeight="1">
      <c r="A52" s="67">
        <f>324000+324000+145440+325000</f>
        <v>1118440</v>
      </c>
      <c r="B52" s="37" t="s">
        <v>5</v>
      </c>
      <c r="C52" s="384">
        <f>36580+36580+36580+36580+36580+99580+99580+99580</f>
        <v>481640</v>
      </c>
      <c r="D52" s="385"/>
      <c r="E52" s="44"/>
      <c r="F52" s="36" t="s">
        <v>199</v>
      </c>
      <c r="G52" s="37" t="s">
        <v>136</v>
      </c>
      <c r="H52" s="384">
        <v>99580</v>
      </c>
      <c r="I52" s="385"/>
      <c r="J52" s="39"/>
      <c r="K52" s="39"/>
    </row>
    <row r="53" spans="1:13" ht="23.1" customHeight="1">
      <c r="A53" s="67">
        <f>440000+240000+220000+130000</f>
        <v>1030000</v>
      </c>
      <c r="B53" s="37" t="s">
        <v>5</v>
      </c>
      <c r="C53" s="384">
        <f>4600+8244+11914+53278+96629+8104+4600+18315</f>
        <v>205684</v>
      </c>
      <c r="D53" s="385"/>
      <c r="E53" s="44"/>
      <c r="F53" s="36" t="s">
        <v>7</v>
      </c>
      <c r="G53" s="37" t="s">
        <v>137</v>
      </c>
      <c r="H53" s="384">
        <v>18315</v>
      </c>
      <c r="I53" s="385"/>
      <c r="J53" s="39"/>
      <c r="K53" s="39"/>
    </row>
    <row r="54" spans="1:13" ht="23.1" customHeight="1">
      <c r="A54" s="67">
        <f>780000+410000+76000+20000+40000+955080+145000+43000+518000+245000</f>
        <v>3232080</v>
      </c>
      <c r="B54" s="37" t="s">
        <v>5</v>
      </c>
      <c r="C54" s="384">
        <f>18544.55+41600+63939.42+397190+212619.8+59102+154866.05+113225.5+152580</f>
        <v>1213667.32</v>
      </c>
      <c r="D54" s="385"/>
      <c r="E54" s="44"/>
      <c r="F54" s="36" t="s">
        <v>8</v>
      </c>
      <c r="G54" s="37" t="s">
        <v>138</v>
      </c>
      <c r="H54" s="384">
        <f>150780+1800</f>
        <v>152580</v>
      </c>
      <c r="I54" s="385"/>
      <c r="J54" s="39"/>
      <c r="K54" s="39"/>
    </row>
    <row r="55" spans="1:13" ht="23.1" customHeight="1">
      <c r="A55" s="67">
        <f>225000+80000+45000+30000+20000+1626800+100000+95000+250000+71000+30000+170000</f>
        <v>2742800</v>
      </c>
      <c r="B55" s="37" t="s">
        <v>5</v>
      </c>
      <c r="C55" s="384">
        <f>24224+54510+6734+810287.6+53868</f>
        <v>949623.6</v>
      </c>
      <c r="D55" s="385"/>
      <c r="E55" s="44"/>
      <c r="F55" s="36" t="s">
        <v>9</v>
      </c>
      <c r="G55" s="37" t="s">
        <v>139</v>
      </c>
      <c r="H55" s="384">
        <v>53868</v>
      </c>
      <c r="I55" s="385"/>
      <c r="J55" s="39"/>
      <c r="K55" s="39"/>
      <c r="L55" s="40"/>
    </row>
    <row r="56" spans="1:13" ht="23.1" customHeight="1">
      <c r="A56" s="87">
        <f>165000+15000+5000+15000+500000</f>
        <v>700000</v>
      </c>
      <c r="B56" s="37" t="s">
        <v>5</v>
      </c>
      <c r="C56" s="384">
        <f>58615.9+59244.81+60695.5+61730.49+62038.45+75272.33+63980.03+65652.33</f>
        <v>507229.84</v>
      </c>
      <c r="D56" s="385"/>
      <c r="E56" s="44"/>
      <c r="F56" s="36" t="s">
        <v>10</v>
      </c>
      <c r="G56" s="37" t="s">
        <v>140</v>
      </c>
      <c r="H56" s="384">
        <v>65652.33</v>
      </c>
      <c r="I56" s="385"/>
      <c r="J56" s="39"/>
      <c r="K56" s="39"/>
    </row>
    <row r="57" spans="1:13" ht="23.1" customHeight="1">
      <c r="A57" s="87">
        <f>125700+89300+30000+5000+158600+129070</f>
        <v>537670</v>
      </c>
      <c r="B57" s="37" t="s">
        <v>5</v>
      </c>
      <c r="C57" s="384">
        <f>7108.01+36014.06+21650+109870</f>
        <v>174642.07</v>
      </c>
      <c r="D57" s="385"/>
      <c r="E57" s="44"/>
      <c r="F57" s="36" t="s">
        <v>12</v>
      </c>
      <c r="G57" s="37" t="s">
        <v>141</v>
      </c>
      <c r="H57" s="384">
        <v>109870</v>
      </c>
      <c r="I57" s="385"/>
      <c r="J57" s="39"/>
      <c r="K57" s="39"/>
    </row>
    <row r="58" spans="1:13" ht="23.1" customHeight="1">
      <c r="A58" s="87">
        <f>205000+4182000</f>
        <v>4387000</v>
      </c>
      <c r="B58" s="37" t="s">
        <v>5</v>
      </c>
      <c r="C58" s="384">
        <f>212000+35800+119500+18218</f>
        <v>385518</v>
      </c>
      <c r="D58" s="385"/>
      <c r="E58" s="44"/>
      <c r="F58" s="36" t="s">
        <v>57</v>
      </c>
      <c r="G58" s="37" t="s">
        <v>142</v>
      </c>
      <c r="H58" s="384">
        <v>18218</v>
      </c>
      <c r="I58" s="385"/>
      <c r="J58" s="39"/>
      <c r="K58" s="39"/>
    </row>
    <row r="59" spans="1:13" ht="23.1" customHeight="1">
      <c r="A59" s="87">
        <v>25000</v>
      </c>
      <c r="B59" s="37" t="s">
        <v>5</v>
      </c>
      <c r="C59" s="384">
        <v>0</v>
      </c>
      <c r="D59" s="385"/>
      <c r="E59" s="44"/>
      <c r="F59" s="45" t="s">
        <v>67</v>
      </c>
      <c r="G59" s="37" t="s">
        <v>143</v>
      </c>
      <c r="H59" s="384">
        <v>0</v>
      </c>
      <c r="I59" s="385"/>
      <c r="J59" s="39"/>
      <c r="K59" s="39"/>
    </row>
    <row r="60" spans="1:13" ht="23.1" customHeight="1">
      <c r="A60" s="87">
        <f>15000+1674400+90000+15000</f>
        <v>1794400</v>
      </c>
      <c r="B60" s="37" t="s">
        <v>5</v>
      </c>
      <c r="C60" s="384">
        <f>852800+50000</f>
        <v>902800</v>
      </c>
      <c r="D60" s="385"/>
      <c r="E60" s="44"/>
      <c r="F60" s="36" t="s">
        <v>11</v>
      </c>
      <c r="G60" s="38">
        <v>561000</v>
      </c>
      <c r="H60" s="384">
        <v>0</v>
      </c>
      <c r="I60" s="385"/>
      <c r="J60" s="39"/>
      <c r="K60" s="39"/>
      <c r="L60" s="40"/>
    </row>
    <row r="61" spans="1:13" ht="18.95" customHeight="1">
      <c r="A61" s="88">
        <f>SUM(A49:A60)</f>
        <v>22227020</v>
      </c>
      <c r="B61" s="63" t="s">
        <v>5</v>
      </c>
      <c r="C61" s="440">
        <f>SUM(C49:C60)</f>
        <v>8472623.2599999998</v>
      </c>
      <c r="D61" s="441"/>
      <c r="E61" s="44"/>
      <c r="F61" s="45"/>
      <c r="G61" s="37"/>
      <c r="H61" s="440">
        <f>SUM(H49:H60)</f>
        <v>1044451.33</v>
      </c>
      <c r="I61" s="441"/>
      <c r="J61" s="43"/>
      <c r="K61" s="39"/>
    </row>
    <row r="62" spans="1:13" ht="21" customHeight="1">
      <c r="A62" s="69"/>
      <c r="B62" s="79"/>
      <c r="C62" s="384">
        <f>1062500+531500+674463.5+810150+524700+143595+1116800</f>
        <v>4863708.5</v>
      </c>
      <c r="D62" s="385"/>
      <c r="E62" s="44"/>
      <c r="F62" s="36" t="s">
        <v>77</v>
      </c>
      <c r="G62" s="37" t="s">
        <v>130</v>
      </c>
      <c r="H62" s="384">
        <f>14000+468500+103800+51000+43000+436500</f>
        <v>1116800</v>
      </c>
      <c r="I62" s="385"/>
      <c r="J62" s="43"/>
      <c r="K62" s="39"/>
    </row>
    <row r="63" spans="1:13" ht="23.1" customHeight="1">
      <c r="A63" s="69"/>
      <c r="B63" s="79"/>
      <c r="C63" s="384">
        <f>44537.88+7146.98+1901.8+67391.11+18850.73+2502.34+9639.79+11920</f>
        <v>163890.63</v>
      </c>
      <c r="D63" s="385"/>
      <c r="E63" s="44"/>
      <c r="F63" s="36" t="s">
        <v>66</v>
      </c>
      <c r="G63" s="37" t="s">
        <v>144</v>
      </c>
      <c r="H63" s="384">
        <f>'หมายเหตุ 2'!E12</f>
        <v>11920</v>
      </c>
      <c r="I63" s="385"/>
      <c r="J63" s="43"/>
      <c r="K63" s="39"/>
    </row>
    <row r="64" spans="1:13" ht="20.25" hidden="1">
      <c r="A64" s="85"/>
      <c r="B64" s="79"/>
      <c r="C64" s="384"/>
      <c r="D64" s="385"/>
      <c r="E64" s="44"/>
      <c r="F64" s="45" t="s">
        <v>65</v>
      </c>
      <c r="G64" s="38">
        <v>620</v>
      </c>
      <c r="H64" s="384"/>
      <c r="I64" s="385"/>
      <c r="J64" s="43"/>
      <c r="K64" s="39"/>
    </row>
    <row r="65" spans="1:13" ht="23.1" customHeight="1">
      <c r="A65" s="69"/>
      <c r="B65" s="79"/>
      <c r="C65" s="384">
        <f>746900+152000+652000</f>
        <v>1550900</v>
      </c>
      <c r="D65" s="385"/>
      <c r="E65" s="44"/>
      <c r="F65" s="36" t="s">
        <v>391</v>
      </c>
      <c r="G65" s="37" t="s">
        <v>147</v>
      </c>
      <c r="H65" s="384">
        <v>0</v>
      </c>
      <c r="I65" s="385"/>
      <c r="J65" s="43"/>
      <c r="K65" s="39"/>
    </row>
    <row r="66" spans="1:13" ht="23.1" customHeight="1">
      <c r="A66" s="69"/>
      <c r="B66" s="79"/>
      <c r="C66" s="384">
        <f>911380</f>
        <v>911380</v>
      </c>
      <c r="D66" s="385"/>
      <c r="E66" s="44"/>
      <c r="F66" s="36" t="s">
        <v>390</v>
      </c>
      <c r="G66" s="37" t="s">
        <v>145</v>
      </c>
      <c r="H66" s="384">
        <v>0</v>
      </c>
      <c r="I66" s="385"/>
      <c r="J66" s="43"/>
      <c r="K66" s="39"/>
    </row>
    <row r="67" spans="1:13" ht="23.1" customHeight="1">
      <c r="A67" s="69"/>
      <c r="B67" s="79"/>
      <c r="C67" s="384">
        <f>25660+230400</f>
        <v>256060</v>
      </c>
      <c r="D67" s="385"/>
      <c r="E67" s="45"/>
      <c r="F67" s="44" t="s">
        <v>177</v>
      </c>
      <c r="G67" s="37" t="s">
        <v>146</v>
      </c>
      <c r="H67" s="384">
        <v>0</v>
      </c>
      <c r="I67" s="385"/>
      <c r="J67" s="43"/>
      <c r="K67" s="39"/>
    </row>
    <row r="68" spans="1:13" ht="23.1" customHeight="1">
      <c r="A68" s="69"/>
      <c r="B68" s="79"/>
      <c r="C68" s="384">
        <v>24</v>
      </c>
      <c r="D68" s="385"/>
      <c r="E68" s="45"/>
      <c r="F68" s="44" t="s">
        <v>394</v>
      </c>
      <c r="G68" s="37" t="s">
        <v>395</v>
      </c>
      <c r="H68" s="384">
        <v>0</v>
      </c>
      <c r="I68" s="385"/>
      <c r="J68" s="43"/>
      <c r="K68" s="39"/>
    </row>
    <row r="69" spans="1:13" ht="23.1" customHeight="1">
      <c r="A69" s="69"/>
      <c r="B69" s="79"/>
      <c r="C69" s="384">
        <f>41600+30000+66870+31800</f>
        <v>170270</v>
      </c>
      <c r="D69" s="385"/>
      <c r="E69" s="45"/>
      <c r="F69" s="44" t="s">
        <v>200</v>
      </c>
      <c r="G69" s="37" t="s">
        <v>131</v>
      </c>
      <c r="H69" s="384">
        <v>31800</v>
      </c>
      <c r="I69" s="385"/>
      <c r="J69" s="43"/>
      <c r="K69" s="39"/>
    </row>
    <row r="70" spans="1:13" ht="23.1" customHeight="1">
      <c r="A70" s="69"/>
      <c r="B70" s="79"/>
      <c r="C70" s="384">
        <f>105000+1169300+106800+105000+105000+105000+584500+157800</f>
        <v>2438400</v>
      </c>
      <c r="D70" s="385"/>
      <c r="E70" s="45"/>
      <c r="F70" s="45" t="s">
        <v>165</v>
      </c>
      <c r="G70" s="37" t="s">
        <v>175</v>
      </c>
      <c r="H70" s="384">
        <v>157800</v>
      </c>
      <c r="I70" s="385"/>
      <c r="J70" s="43"/>
      <c r="K70" s="43"/>
    </row>
    <row r="71" spans="1:13" ht="20.25">
      <c r="A71" s="69"/>
      <c r="B71" s="79"/>
      <c r="C71" s="384">
        <v>63000</v>
      </c>
      <c r="D71" s="385"/>
      <c r="E71" s="45"/>
      <c r="F71" s="45" t="s">
        <v>201</v>
      </c>
      <c r="G71" s="37" t="s">
        <v>194</v>
      </c>
      <c r="H71" s="384">
        <v>0</v>
      </c>
      <c r="I71" s="385"/>
      <c r="J71" s="43"/>
      <c r="K71" s="43"/>
    </row>
    <row r="72" spans="1:13" ht="20.25">
      <c r="A72" s="69"/>
      <c r="B72" s="79"/>
      <c r="C72" s="409">
        <v>1038</v>
      </c>
      <c r="D72" s="410"/>
      <c r="E72" s="45"/>
      <c r="F72" s="45" t="s">
        <v>159</v>
      </c>
      <c r="G72" s="37" t="s">
        <v>161</v>
      </c>
      <c r="H72" s="409">
        <v>0</v>
      </c>
      <c r="I72" s="410"/>
      <c r="J72" s="43"/>
      <c r="K72" s="43"/>
    </row>
    <row r="73" spans="1:13" ht="21" customHeight="1">
      <c r="A73" s="69"/>
      <c r="B73" s="78"/>
      <c r="C73" s="440">
        <f>SUM(C62:D72)</f>
        <v>10418671.129999999</v>
      </c>
      <c r="D73" s="441"/>
      <c r="E73" s="45"/>
      <c r="F73" s="44"/>
      <c r="G73" s="37"/>
      <c r="H73" s="440">
        <f>SUM(H62:I72)</f>
        <v>1318320</v>
      </c>
      <c r="I73" s="441"/>
      <c r="J73" s="43"/>
      <c r="K73" s="43"/>
    </row>
    <row r="74" spans="1:13" ht="17.100000000000001" customHeight="1" thickBot="1">
      <c r="A74" s="69"/>
      <c r="B74" s="78"/>
      <c r="C74" s="411">
        <f>C61+C73</f>
        <v>18891294.390000001</v>
      </c>
      <c r="D74" s="412"/>
      <c r="E74" s="443" t="s">
        <v>64</v>
      </c>
      <c r="F74" s="443"/>
      <c r="G74" s="37"/>
      <c r="H74" s="411">
        <f>+H61+H73</f>
        <v>2362771.33</v>
      </c>
      <c r="I74" s="412"/>
      <c r="J74" s="43"/>
      <c r="K74" s="43"/>
    </row>
    <row r="75" spans="1:13" ht="17.100000000000001" customHeight="1" thickTop="1">
      <c r="A75" s="69"/>
      <c r="B75" s="78"/>
      <c r="C75" s="384">
        <f>C44-C74</f>
        <v>13170865.399999995</v>
      </c>
      <c r="D75" s="385"/>
      <c r="E75" s="443" t="s">
        <v>63</v>
      </c>
      <c r="F75" s="443"/>
      <c r="G75" s="37"/>
      <c r="H75" s="384">
        <f>H44-H74</f>
        <v>3086011.7299999995</v>
      </c>
      <c r="I75" s="385"/>
      <c r="J75" s="43"/>
      <c r="K75" s="43"/>
    </row>
    <row r="76" spans="1:13" ht="17.100000000000001" customHeight="1">
      <c r="A76" s="71"/>
      <c r="B76" s="81"/>
      <c r="C76" s="384"/>
      <c r="D76" s="385"/>
      <c r="E76" s="443" t="s">
        <v>62</v>
      </c>
      <c r="F76" s="443"/>
      <c r="G76" s="37"/>
      <c r="H76" s="374"/>
      <c r="I76" s="375"/>
      <c r="J76" s="43" t="s">
        <v>113</v>
      </c>
      <c r="K76" s="40">
        <v>31212259.77</v>
      </c>
    </row>
    <row r="77" spans="1:13" ht="17.100000000000001" customHeight="1">
      <c r="A77" s="71"/>
      <c r="B77" s="81"/>
      <c r="C77" s="384"/>
      <c r="D77" s="385"/>
      <c r="E77" s="443" t="s">
        <v>61</v>
      </c>
      <c r="F77" s="443"/>
      <c r="G77" s="37"/>
      <c r="H77" s="384"/>
      <c r="I77" s="385"/>
      <c r="J77" s="43" t="s">
        <v>15</v>
      </c>
      <c r="K77" s="40">
        <v>289</v>
      </c>
      <c r="L77" s="39">
        <f>SUM(K76:K77)</f>
        <v>31212548.77</v>
      </c>
    </row>
    <row r="78" spans="1:13" ht="17.100000000000001" customHeight="1" thickBot="1">
      <c r="A78" s="72"/>
      <c r="B78" s="82"/>
      <c r="C78" s="411">
        <f>C10+C44-C74</f>
        <v>31212548.769999996</v>
      </c>
      <c r="D78" s="412"/>
      <c r="E78" s="438" t="s">
        <v>60</v>
      </c>
      <c r="F78" s="439"/>
      <c r="G78" s="46"/>
      <c r="H78" s="411">
        <f>H10+H44-H74</f>
        <v>31212548.770000003</v>
      </c>
      <c r="I78" s="412"/>
      <c r="J78" s="100" t="s">
        <v>180</v>
      </c>
      <c r="K78" s="101">
        <f>C78-H78</f>
        <v>0</v>
      </c>
      <c r="L78" s="40"/>
      <c r="M78" s="40">
        <f>L77-H78</f>
        <v>0</v>
      </c>
    </row>
    <row r="79" spans="1:13" ht="17.100000000000001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181</v>
      </c>
      <c r="D81" s="65" t="s">
        <v>173</v>
      </c>
      <c r="F81" s="64"/>
      <c r="G81" s="367" t="s">
        <v>401</v>
      </c>
      <c r="H81" s="93"/>
    </row>
    <row r="82" spans="1:8" s="66" customFormat="1" ht="18" customHeight="1">
      <c r="A82" s="442" t="s">
        <v>59</v>
      </c>
      <c r="B82" s="442"/>
      <c r="C82" s="65" t="s">
        <v>167</v>
      </c>
      <c r="E82" s="91"/>
      <c r="F82" s="91"/>
      <c r="G82" s="367" t="s">
        <v>58</v>
      </c>
    </row>
    <row r="83" spans="1:8" s="66" customFormat="1" ht="15.95" customHeight="1">
      <c r="E83" s="64"/>
      <c r="F83" s="64"/>
      <c r="G83" s="354"/>
    </row>
  </sheetData>
  <mergeCells count="176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opLeftCell="A4" workbookViewId="0">
      <selection activeCell="G9" sqref="G9:H9"/>
    </sheetView>
  </sheetViews>
  <sheetFormatPr defaultRowHeight="12.75"/>
  <cols>
    <col min="5" max="5" width="17.140625" customWidth="1"/>
    <col min="7" max="7" width="10.2851562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</row>
    <row r="2" spans="1:10" ht="21">
      <c r="A2" s="456" t="s">
        <v>202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0" ht="21">
      <c r="A3" s="457" t="s">
        <v>416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0" ht="21">
      <c r="A4" s="458" t="s">
        <v>1</v>
      </c>
      <c r="B4" s="459"/>
      <c r="C4" s="459"/>
      <c r="D4" s="459"/>
      <c r="E4" s="460"/>
      <c r="F4" s="56" t="s">
        <v>2</v>
      </c>
      <c r="G4" s="461" t="s">
        <v>3</v>
      </c>
      <c r="H4" s="462"/>
      <c r="I4" s="461" t="s">
        <v>4</v>
      </c>
      <c r="J4" s="462"/>
    </row>
    <row r="5" spans="1:10" ht="21.75">
      <c r="A5" s="449" t="s">
        <v>15</v>
      </c>
      <c r="B5" s="450"/>
      <c r="C5" s="450"/>
      <c r="D5" s="450"/>
      <c r="E5" s="451"/>
      <c r="F5" s="94" t="s">
        <v>148</v>
      </c>
      <c r="G5" s="452">
        <v>289</v>
      </c>
      <c r="H5" s="452"/>
      <c r="I5" s="453"/>
      <c r="J5" s="453"/>
    </row>
    <row r="6" spans="1:10" ht="21.75">
      <c r="A6" s="444" t="s">
        <v>183</v>
      </c>
      <c r="B6" s="445"/>
      <c r="C6" s="445"/>
      <c r="D6" s="445"/>
      <c r="E6" s="446"/>
      <c r="F6" s="94" t="s">
        <v>149</v>
      </c>
      <c r="G6" s="454">
        <v>1170596.31</v>
      </c>
      <c r="H6" s="455"/>
      <c r="I6" s="454"/>
      <c r="J6" s="455"/>
    </row>
    <row r="7" spans="1:10" ht="21.75">
      <c r="A7" s="444" t="s">
        <v>184</v>
      </c>
      <c r="B7" s="445"/>
      <c r="C7" s="445"/>
      <c r="D7" s="445"/>
      <c r="E7" s="446"/>
      <c r="F7" s="94"/>
      <c r="G7" s="447">
        <v>1567396.62</v>
      </c>
      <c r="H7" s="448"/>
      <c r="I7" s="447"/>
      <c r="J7" s="448"/>
    </row>
    <row r="8" spans="1:10" ht="21.75">
      <c r="A8" s="444" t="s">
        <v>185</v>
      </c>
      <c r="B8" s="445"/>
      <c r="C8" s="445"/>
      <c r="D8" s="445"/>
      <c r="E8" s="446"/>
      <c r="F8" s="94"/>
      <c r="G8" s="447">
        <v>4253321.6900000004</v>
      </c>
      <c r="H8" s="448"/>
      <c r="I8" s="447"/>
      <c r="J8" s="448"/>
    </row>
    <row r="9" spans="1:10" ht="21.75">
      <c r="A9" s="449" t="s">
        <v>186</v>
      </c>
      <c r="B9" s="450"/>
      <c r="C9" s="450"/>
      <c r="D9" s="450"/>
      <c r="E9" s="451"/>
      <c r="F9" s="94" t="s">
        <v>150</v>
      </c>
      <c r="G9" s="447">
        <v>21497806.719999999</v>
      </c>
      <c r="H9" s="448"/>
      <c r="I9" s="447"/>
      <c r="J9" s="448"/>
    </row>
    <row r="10" spans="1:10" ht="21.75">
      <c r="A10" s="449" t="s">
        <v>187</v>
      </c>
      <c r="B10" s="450"/>
      <c r="C10" s="450"/>
      <c r="D10" s="450"/>
      <c r="E10" s="451"/>
      <c r="F10" s="94"/>
      <c r="G10" s="447">
        <v>723138.43</v>
      </c>
      <c r="H10" s="448"/>
      <c r="I10" s="447"/>
      <c r="J10" s="448"/>
    </row>
    <row r="11" spans="1:10" ht="21.75">
      <c r="A11" s="120" t="s">
        <v>193</v>
      </c>
      <c r="B11" s="121"/>
      <c r="C11" s="121"/>
      <c r="D11" s="121"/>
      <c r="E11" s="122"/>
      <c r="F11" s="94"/>
      <c r="G11" s="464">
        <v>2000000</v>
      </c>
      <c r="H11" s="465"/>
      <c r="I11" s="117"/>
      <c r="J11" s="118"/>
    </row>
    <row r="12" spans="1:10" ht="21.75">
      <c r="A12" s="449" t="s">
        <v>22</v>
      </c>
      <c r="B12" s="450"/>
      <c r="C12" s="450"/>
      <c r="D12" s="450"/>
      <c r="E12" s="451"/>
      <c r="F12" s="94" t="s">
        <v>151</v>
      </c>
      <c r="G12" s="464">
        <v>97782.52</v>
      </c>
      <c r="H12" s="465"/>
      <c r="I12" s="464"/>
      <c r="J12" s="465"/>
    </row>
    <row r="13" spans="1:10" ht="21.75">
      <c r="A13" s="466" t="s">
        <v>406</v>
      </c>
      <c r="B13" s="467"/>
      <c r="C13" s="467"/>
      <c r="D13" s="467"/>
      <c r="E13" s="468"/>
      <c r="F13" s="94" t="s">
        <v>152</v>
      </c>
      <c r="G13" s="447">
        <v>137770</v>
      </c>
      <c r="H13" s="448"/>
      <c r="I13" s="447"/>
      <c r="J13" s="448"/>
    </row>
    <row r="14" spans="1:10" ht="21.75">
      <c r="A14" s="463" t="s">
        <v>13</v>
      </c>
      <c r="B14" s="463"/>
      <c r="C14" s="463"/>
      <c r="D14" s="463"/>
      <c r="E14" s="463"/>
      <c r="F14" s="94" t="s">
        <v>131</v>
      </c>
      <c r="G14" s="447">
        <f>66870-6870-61800+31800</f>
        <v>30000</v>
      </c>
      <c r="H14" s="448"/>
      <c r="I14" s="447"/>
      <c r="J14" s="448"/>
    </row>
    <row r="15" spans="1:10" ht="21.75">
      <c r="A15" s="463" t="s">
        <v>203</v>
      </c>
      <c r="B15" s="463"/>
      <c r="C15" s="463"/>
      <c r="D15" s="463"/>
      <c r="E15" s="463"/>
      <c r="F15" s="94" t="s">
        <v>175</v>
      </c>
      <c r="G15" s="464">
        <f>105000+1169300-956000-106500+106800+105000-138600+105000-285000+105000-90000+584500-530500+157800</f>
        <v>331800</v>
      </c>
      <c r="H15" s="465"/>
      <c r="I15" s="125"/>
      <c r="J15" s="126"/>
    </row>
    <row r="16" spans="1:10" ht="21.75">
      <c r="A16" s="463" t="s">
        <v>158</v>
      </c>
      <c r="B16" s="463"/>
      <c r="C16" s="463"/>
      <c r="D16" s="463"/>
      <c r="E16" s="463"/>
      <c r="F16" s="94"/>
      <c r="G16" s="447">
        <v>113000</v>
      </c>
      <c r="H16" s="448"/>
      <c r="I16" s="117"/>
      <c r="J16" s="118"/>
    </row>
    <row r="17" spans="1:10" ht="21.75">
      <c r="A17" s="449" t="s">
        <v>6</v>
      </c>
      <c r="B17" s="450"/>
      <c r="C17" s="450"/>
      <c r="D17" s="450"/>
      <c r="E17" s="451"/>
      <c r="F17" s="94" t="s">
        <v>205</v>
      </c>
      <c r="G17" s="464">
        <f>294214+12314+27768+98423</f>
        <v>432719</v>
      </c>
      <c r="H17" s="465"/>
      <c r="I17" s="125"/>
      <c r="J17" s="126"/>
    </row>
    <row r="18" spans="1:10" ht="21.75">
      <c r="A18" s="449" t="s">
        <v>133</v>
      </c>
      <c r="B18" s="450"/>
      <c r="C18" s="450"/>
      <c r="D18" s="450"/>
      <c r="E18" s="451"/>
      <c r="F18" s="94" t="s">
        <v>135</v>
      </c>
      <c r="G18" s="464">
        <f>182919.01-9987.1+187797.1+171060+171060+171060+171060+171060</f>
        <v>1216029.01</v>
      </c>
      <c r="H18" s="465"/>
      <c r="I18" s="125"/>
      <c r="J18" s="126"/>
    </row>
    <row r="19" spans="1:10" ht="21.75">
      <c r="A19" s="449" t="s">
        <v>134</v>
      </c>
      <c r="B19" s="450"/>
      <c r="C19" s="450"/>
      <c r="D19" s="450"/>
      <c r="E19" s="451"/>
      <c r="F19" s="94" t="s">
        <v>136</v>
      </c>
      <c r="G19" s="464">
        <f>1478173+258025.32+256885</f>
        <v>1993083.32</v>
      </c>
      <c r="H19" s="465"/>
      <c r="I19" s="125"/>
      <c r="J19" s="126"/>
    </row>
    <row r="20" spans="1:10" ht="21.75">
      <c r="A20" s="449" t="s">
        <v>208</v>
      </c>
      <c r="B20" s="450"/>
      <c r="C20" s="450"/>
      <c r="D20" s="450"/>
      <c r="E20" s="451"/>
      <c r="F20" s="94" t="s">
        <v>136</v>
      </c>
      <c r="G20" s="464">
        <v>481640</v>
      </c>
      <c r="H20" s="465"/>
      <c r="I20" s="125"/>
      <c r="J20" s="126"/>
    </row>
    <row r="21" spans="1:10" ht="21.75">
      <c r="A21" s="449" t="s">
        <v>7</v>
      </c>
      <c r="B21" s="450"/>
      <c r="C21" s="450"/>
      <c r="D21" s="450"/>
      <c r="E21" s="451"/>
      <c r="F21" s="94" t="s">
        <v>137</v>
      </c>
      <c r="G21" s="464">
        <v>205684</v>
      </c>
      <c r="H21" s="465"/>
      <c r="I21" s="125"/>
      <c r="J21" s="126"/>
    </row>
    <row r="22" spans="1:10" ht="21.75">
      <c r="A22" s="449" t="s">
        <v>8</v>
      </c>
      <c r="B22" s="450"/>
      <c r="C22" s="450"/>
      <c r="D22" s="450"/>
      <c r="E22" s="451"/>
      <c r="F22" s="94" t="s">
        <v>138</v>
      </c>
      <c r="G22" s="464">
        <v>1213667.32</v>
      </c>
      <c r="H22" s="465"/>
      <c r="I22" s="125"/>
      <c r="J22" s="126"/>
    </row>
    <row r="23" spans="1:10" ht="21.75">
      <c r="A23" s="449" t="s">
        <v>9</v>
      </c>
      <c r="B23" s="450"/>
      <c r="C23" s="450"/>
      <c r="D23" s="450"/>
      <c r="E23" s="451"/>
      <c r="F23" s="94" t="s">
        <v>139</v>
      </c>
      <c r="G23" s="464">
        <v>949623.6</v>
      </c>
      <c r="H23" s="465"/>
      <c r="I23" s="125"/>
      <c r="J23" s="126"/>
    </row>
    <row r="24" spans="1:10" ht="21.75">
      <c r="A24" s="449" t="s">
        <v>10</v>
      </c>
      <c r="B24" s="450"/>
      <c r="C24" s="450"/>
      <c r="D24" s="450"/>
      <c r="E24" s="451"/>
      <c r="F24" s="94" t="s">
        <v>140</v>
      </c>
      <c r="G24" s="464">
        <v>507229.84</v>
      </c>
      <c r="H24" s="465"/>
      <c r="I24" s="125"/>
      <c r="J24" s="126"/>
    </row>
    <row r="25" spans="1:10" ht="21.75">
      <c r="A25" s="449" t="s">
        <v>12</v>
      </c>
      <c r="B25" s="450"/>
      <c r="C25" s="450"/>
      <c r="D25" s="450"/>
      <c r="E25" s="451"/>
      <c r="F25" s="94" t="s">
        <v>141</v>
      </c>
      <c r="G25" s="464">
        <v>174642.07</v>
      </c>
      <c r="H25" s="465"/>
      <c r="I25" s="125"/>
      <c r="J25" s="126"/>
    </row>
    <row r="26" spans="1:10" ht="21.75">
      <c r="A26" s="449" t="s">
        <v>57</v>
      </c>
      <c r="B26" s="450"/>
      <c r="C26" s="450"/>
      <c r="D26" s="450"/>
      <c r="E26" s="451"/>
      <c r="F26" s="94" t="s">
        <v>206</v>
      </c>
      <c r="G26" s="464">
        <v>385518</v>
      </c>
      <c r="H26" s="465"/>
      <c r="I26" s="125"/>
      <c r="J26" s="126"/>
    </row>
    <row r="27" spans="1:10" ht="21.75">
      <c r="A27" s="466" t="s">
        <v>204</v>
      </c>
      <c r="B27" s="467"/>
      <c r="C27" s="467"/>
      <c r="D27" s="467"/>
      <c r="E27" s="468"/>
      <c r="F27" s="94" t="s">
        <v>143</v>
      </c>
      <c r="G27" s="464">
        <v>0</v>
      </c>
      <c r="H27" s="465"/>
      <c r="I27" s="125"/>
      <c r="J27" s="126"/>
    </row>
    <row r="28" spans="1:10" ht="21.75">
      <c r="A28" s="449" t="s">
        <v>11</v>
      </c>
      <c r="B28" s="450"/>
      <c r="C28" s="450"/>
      <c r="D28" s="450"/>
      <c r="E28" s="451"/>
      <c r="F28" s="94" t="s">
        <v>207</v>
      </c>
      <c r="G28" s="464">
        <v>902800</v>
      </c>
      <c r="H28" s="465"/>
      <c r="I28" s="125"/>
      <c r="J28" s="126"/>
    </row>
    <row r="29" spans="1:10" ht="21.75">
      <c r="A29" s="449" t="s">
        <v>77</v>
      </c>
      <c r="B29" s="450"/>
      <c r="C29" s="450"/>
      <c r="D29" s="450"/>
      <c r="E29" s="451"/>
      <c r="F29" s="94"/>
      <c r="G29" s="464">
        <f>1062500-4800+531500+674463.5+810150+524700+143595+1116800</f>
        <v>4858908.5</v>
      </c>
      <c r="H29" s="465"/>
      <c r="I29" s="125"/>
      <c r="J29" s="126"/>
    </row>
    <row r="30" spans="1:10" ht="21.75">
      <c r="A30" s="449" t="s">
        <v>14</v>
      </c>
      <c r="B30" s="450"/>
      <c r="C30" s="450"/>
      <c r="D30" s="450"/>
      <c r="E30" s="451"/>
      <c r="F30" s="94" t="s">
        <v>147</v>
      </c>
      <c r="G30" s="447"/>
      <c r="H30" s="448"/>
      <c r="I30" s="447">
        <f>8728278.23-746900-152000-652000</f>
        <v>7177378.2300000004</v>
      </c>
      <c r="J30" s="448"/>
    </row>
    <row r="31" spans="1:10" ht="21.75">
      <c r="A31" s="449" t="s">
        <v>16</v>
      </c>
      <c r="B31" s="450"/>
      <c r="C31" s="450"/>
      <c r="D31" s="450"/>
      <c r="E31" s="451"/>
      <c r="F31" s="94" t="s">
        <v>153</v>
      </c>
      <c r="G31" s="447"/>
      <c r="H31" s="448"/>
      <c r="I31" s="447">
        <f>5426512.96+1684536.47</f>
        <v>7111049.4299999997</v>
      </c>
      <c r="J31" s="448"/>
    </row>
    <row r="32" spans="1:10" ht="21.75">
      <c r="A32" s="114" t="s">
        <v>195</v>
      </c>
      <c r="B32" s="115"/>
      <c r="C32" s="115"/>
      <c r="D32" s="115"/>
      <c r="E32" s="116"/>
      <c r="F32" s="94" t="s">
        <v>172</v>
      </c>
      <c r="G32" s="464"/>
      <c r="H32" s="465"/>
      <c r="I32" s="464">
        <v>9970</v>
      </c>
      <c r="J32" s="465"/>
    </row>
    <row r="33" spans="1:12" ht="21.75">
      <c r="A33" s="114" t="s">
        <v>114</v>
      </c>
      <c r="B33" s="115"/>
      <c r="C33" s="115"/>
      <c r="D33" s="115"/>
      <c r="E33" s="116"/>
      <c r="F33" s="94" t="s">
        <v>145</v>
      </c>
      <c r="G33" s="464"/>
      <c r="H33" s="465"/>
      <c r="I33" s="464">
        <f>986300-911380</f>
        <v>74920</v>
      </c>
      <c r="J33" s="465"/>
    </row>
    <row r="34" spans="1:12" ht="21.75">
      <c r="A34" s="114" t="s">
        <v>196</v>
      </c>
      <c r="B34" s="115"/>
      <c r="C34" s="115"/>
      <c r="D34" s="115"/>
      <c r="E34" s="116"/>
      <c r="F34" s="94" t="s">
        <v>197</v>
      </c>
      <c r="G34" s="464"/>
      <c r="H34" s="465"/>
      <c r="I34" s="464">
        <f>305660-25660-230400</f>
        <v>49600</v>
      </c>
      <c r="J34" s="465"/>
    </row>
    <row r="35" spans="1:12" ht="21.75">
      <c r="A35" s="449" t="s">
        <v>405</v>
      </c>
      <c r="B35" s="450"/>
      <c r="C35" s="450"/>
      <c r="D35" s="450"/>
      <c r="E35" s="451"/>
      <c r="F35" s="94"/>
      <c r="G35" s="447"/>
      <c r="H35" s="448"/>
      <c r="I35" s="447">
        <v>836138.43</v>
      </c>
      <c r="J35" s="448"/>
    </row>
    <row r="36" spans="1:12" ht="21.75">
      <c r="A36" s="449" t="s">
        <v>297</v>
      </c>
      <c r="B36" s="450"/>
      <c r="C36" s="450"/>
      <c r="D36" s="450"/>
      <c r="E36" s="451"/>
      <c r="F36" s="94" t="s">
        <v>209</v>
      </c>
      <c r="G36" s="125"/>
      <c r="H36" s="126"/>
      <c r="I36" s="464">
        <f>1221333.91+7792423.25+1091025.85+2678118.37+156572.33+199050+8022428.24+583000+177305.89+2898900+4807692</f>
        <v>29627849.84</v>
      </c>
      <c r="J36" s="465"/>
    </row>
    <row r="37" spans="1:12" ht="21.75">
      <c r="A37" s="449" t="s">
        <v>17</v>
      </c>
      <c r="B37" s="450"/>
      <c r="C37" s="450" t="s">
        <v>18</v>
      </c>
      <c r="D37" s="450"/>
      <c r="E37" s="451"/>
      <c r="F37" s="94" t="s">
        <v>154</v>
      </c>
      <c r="G37" s="447"/>
      <c r="H37" s="448"/>
      <c r="I37" s="447">
        <v>2794.59</v>
      </c>
      <c r="J37" s="448"/>
    </row>
    <row r="38" spans="1:12" ht="21.75">
      <c r="A38" s="449"/>
      <c r="B38" s="450"/>
      <c r="C38" s="450" t="s">
        <v>19</v>
      </c>
      <c r="D38" s="450"/>
      <c r="E38" s="451"/>
      <c r="F38" s="94" t="s">
        <v>155</v>
      </c>
      <c r="G38" s="447"/>
      <c r="H38" s="448"/>
      <c r="I38" s="447">
        <v>336990</v>
      </c>
      <c r="J38" s="448"/>
    </row>
    <row r="39" spans="1:12" ht="21.75">
      <c r="A39" s="449"/>
      <c r="B39" s="450"/>
      <c r="C39" s="450" t="s">
        <v>20</v>
      </c>
      <c r="D39" s="450"/>
      <c r="E39" s="451"/>
      <c r="F39" s="94" t="s">
        <v>157</v>
      </c>
      <c r="G39" s="447"/>
      <c r="H39" s="448"/>
      <c r="I39" s="469">
        <v>8070.65</v>
      </c>
      <c r="J39" s="470"/>
    </row>
    <row r="40" spans="1:12" ht="21.75">
      <c r="A40" s="114"/>
      <c r="B40" s="115"/>
      <c r="C40" s="450" t="s">
        <v>21</v>
      </c>
      <c r="D40" s="450"/>
      <c r="E40" s="451"/>
      <c r="F40" s="94" t="s">
        <v>156</v>
      </c>
      <c r="G40" s="447"/>
      <c r="H40" s="448"/>
      <c r="I40" s="447">
        <v>9684.7800000000007</v>
      </c>
      <c r="J40" s="448"/>
    </row>
    <row r="41" spans="1:12" ht="22.5" thickBot="1">
      <c r="A41" s="95"/>
      <c r="B41" s="95"/>
      <c r="C41" s="95"/>
      <c r="D41" s="95"/>
      <c r="E41" s="95"/>
      <c r="F41" s="96"/>
      <c r="G41" s="471">
        <f>SUM(G5:H29)</f>
        <v>45244445.950000003</v>
      </c>
      <c r="H41" s="472"/>
      <c r="I41" s="471">
        <f>SUM(I30:J40)</f>
        <v>45244445.950000003</v>
      </c>
      <c r="J41" s="472"/>
      <c r="L41" s="113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176</v>
      </c>
      <c r="B43" s="66"/>
      <c r="C43" s="66"/>
      <c r="D43" s="65" t="s">
        <v>174</v>
      </c>
      <c r="E43" s="66"/>
      <c r="F43" s="119"/>
      <c r="G43" s="66"/>
      <c r="H43" s="93"/>
      <c r="I43" s="368" t="s">
        <v>401</v>
      </c>
      <c r="J43" s="66"/>
    </row>
    <row r="44" spans="1:12" ht="21.75">
      <c r="A44" s="442" t="s">
        <v>115</v>
      </c>
      <c r="B44" s="442"/>
      <c r="C44" s="65"/>
      <c r="D44" s="65" t="s">
        <v>166</v>
      </c>
      <c r="E44" s="91"/>
      <c r="F44" s="91"/>
      <c r="G44" s="66"/>
      <c r="H44" s="66"/>
      <c r="I44" s="368" t="s">
        <v>58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4"/>
      <c r="J45" s="57"/>
    </row>
  </sheetData>
  <mergeCells count="99">
    <mergeCell ref="G25:H25"/>
    <mergeCell ref="G26:H26"/>
    <mergeCell ref="G27:H27"/>
    <mergeCell ref="G28:H28"/>
    <mergeCell ref="G29:H29"/>
    <mergeCell ref="G21:H21"/>
    <mergeCell ref="G22:H22"/>
    <mergeCell ref="G23:H23"/>
    <mergeCell ref="G24:H24"/>
    <mergeCell ref="G20:H20"/>
    <mergeCell ref="A25:E25"/>
    <mergeCell ref="A26:E26"/>
    <mergeCell ref="A27:E27"/>
    <mergeCell ref="A28:E28"/>
    <mergeCell ref="A29:E29"/>
    <mergeCell ref="A21:E21"/>
    <mergeCell ref="A22:E22"/>
    <mergeCell ref="A23:E23"/>
    <mergeCell ref="A24:E24"/>
    <mergeCell ref="A20:E20"/>
    <mergeCell ref="G17:H17"/>
    <mergeCell ref="G18:H18"/>
    <mergeCell ref="A17:E17"/>
    <mergeCell ref="A18:E18"/>
    <mergeCell ref="A19:E19"/>
    <mergeCell ref="G19:H19"/>
    <mergeCell ref="G41:H41"/>
    <mergeCell ref="I41:J41"/>
    <mergeCell ref="A44:B44"/>
    <mergeCell ref="C40:E40"/>
    <mergeCell ref="G40:H40"/>
    <mergeCell ref="I40:J40"/>
    <mergeCell ref="A38:B38"/>
    <mergeCell ref="C38:E38"/>
    <mergeCell ref="G38:H38"/>
    <mergeCell ref="I38:J38"/>
    <mergeCell ref="A39:B39"/>
    <mergeCell ref="C39:E39"/>
    <mergeCell ref="G39:H39"/>
    <mergeCell ref="I39:J39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G32:H32"/>
    <mergeCell ref="I32:J32"/>
    <mergeCell ref="G33:H33"/>
    <mergeCell ref="I33:J33"/>
    <mergeCell ref="G34:H34"/>
    <mergeCell ref="I34:J34"/>
    <mergeCell ref="A31:E31"/>
    <mergeCell ref="G31:H31"/>
    <mergeCell ref="I31:J31"/>
    <mergeCell ref="A30:E30"/>
    <mergeCell ref="G30:H30"/>
    <mergeCell ref="I30:J30"/>
    <mergeCell ref="A16:E16"/>
    <mergeCell ref="G16:H16"/>
    <mergeCell ref="A15:E15"/>
    <mergeCell ref="G15:H15"/>
    <mergeCell ref="G11:H11"/>
    <mergeCell ref="A12:E12"/>
    <mergeCell ref="G12:H12"/>
    <mergeCell ref="A13:E13"/>
    <mergeCell ref="G13:H13"/>
    <mergeCell ref="A10:E10"/>
    <mergeCell ref="G10:H10"/>
    <mergeCell ref="I10:J10"/>
    <mergeCell ref="A14:E14"/>
    <mergeCell ref="G14:H14"/>
    <mergeCell ref="I14:J14"/>
    <mergeCell ref="I12:J12"/>
    <mergeCell ref="I13:J13"/>
    <mergeCell ref="A8:E8"/>
    <mergeCell ref="G8:H8"/>
    <mergeCell ref="I8:J8"/>
    <mergeCell ref="A9:E9"/>
    <mergeCell ref="G9:H9"/>
    <mergeCell ref="I9:J9"/>
    <mergeCell ref="A1:J1"/>
    <mergeCell ref="A2:J2"/>
    <mergeCell ref="A3:J3"/>
    <mergeCell ref="A4:E4"/>
    <mergeCell ref="G4:H4"/>
    <mergeCell ref="I4:J4"/>
    <mergeCell ref="A7:E7"/>
    <mergeCell ref="G7:H7"/>
    <mergeCell ref="I7:J7"/>
    <mergeCell ref="A5:E5"/>
    <mergeCell ref="G5:H5"/>
    <mergeCell ref="I5:J5"/>
    <mergeCell ref="A6:E6"/>
    <mergeCell ref="G6:H6"/>
    <mergeCell ref="I6:J6"/>
  </mergeCells>
  <pageMargins left="0.708661417322834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A2" sqref="A2:F2"/>
    </sheetView>
  </sheetViews>
  <sheetFormatPr defaultRowHeight="23.25"/>
  <cols>
    <col min="1" max="1" width="25.42578125" style="99" customWidth="1"/>
    <col min="2" max="2" width="8.85546875" style="99" bestFit="1" customWidth="1"/>
    <col min="3" max="3" width="13.7109375" style="99" customWidth="1"/>
    <col min="4" max="4" width="12.7109375" style="99" customWidth="1"/>
    <col min="5" max="5" width="12.7109375" style="99" bestFit="1" customWidth="1"/>
    <col min="6" max="6" width="14.5703125" style="99" customWidth="1"/>
    <col min="7" max="16384" width="9.140625" style="99"/>
  </cols>
  <sheetData>
    <row r="1" spans="1:6">
      <c r="A1" s="473" t="s">
        <v>178</v>
      </c>
      <c r="B1" s="473"/>
      <c r="C1" s="473"/>
      <c r="D1" s="473"/>
      <c r="E1" s="473"/>
      <c r="F1" s="473"/>
    </row>
    <row r="2" spans="1:6">
      <c r="A2" s="473" t="s">
        <v>415</v>
      </c>
      <c r="B2" s="473"/>
      <c r="C2" s="473"/>
      <c r="D2" s="473"/>
      <c r="E2" s="473"/>
      <c r="F2" s="473"/>
    </row>
    <row r="3" spans="1:6">
      <c r="A3" s="108" t="s">
        <v>47</v>
      </c>
      <c r="B3" s="108" t="s">
        <v>2</v>
      </c>
      <c r="C3" s="108" t="s">
        <v>56</v>
      </c>
      <c r="D3" s="108" t="s">
        <v>48</v>
      </c>
      <c r="E3" s="108" t="s">
        <v>49</v>
      </c>
      <c r="F3" s="108" t="s">
        <v>50</v>
      </c>
    </row>
    <row r="4" spans="1:6">
      <c r="A4" s="102" t="s">
        <v>51</v>
      </c>
      <c r="B4" s="103">
        <v>230102</v>
      </c>
      <c r="C4" s="104">
        <v>2040</v>
      </c>
      <c r="D4" s="104">
        <v>2794.59</v>
      </c>
      <c r="E4" s="104">
        <v>2040</v>
      </c>
      <c r="F4" s="104">
        <f t="shared" ref="F4:F9" si="0">C4+D4-E4</f>
        <v>2794.59</v>
      </c>
    </row>
    <row r="5" spans="1:6">
      <c r="A5" s="102" t="s">
        <v>52</v>
      </c>
      <c r="B5" s="103">
        <v>230108</v>
      </c>
      <c r="C5" s="104">
        <v>305470</v>
      </c>
      <c r="D5" s="104">
        <v>41400</v>
      </c>
      <c r="E5" s="104">
        <v>9880</v>
      </c>
      <c r="F5" s="104">
        <f t="shared" si="0"/>
        <v>336990</v>
      </c>
    </row>
    <row r="6" spans="1:6">
      <c r="A6" s="102" t="s">
        <v>53</v>
      </c>
      <c r="B6" s="103">
        <v>230105</v>
      </c>
      <c r="C6" s="104">
        <v>7486.7</v>
      </c>
      <c r="D6" s="104">
        <v>583.95000000000005</v>
      </c>
      <c r="E6" s="104">
        <v>0</v>
      </c>
      <c r="F6" s="104">
        <f t="shared" si="0"/>
        <v>8070.65</v>
      </c>
    </row>
    <row r="7" spans="1:6">
      <c r="A7" s="102" t="s">
        <v>179</v>
      </c>
      <c r="B7" s="103">
        <v>230106</v>
      </c>
      <c r="C7" s="104">
        <v>8984.0400000000009</v>
      </c>
      <c r="D7" s="104">
        <v>700.74</v>
      </c>
      <c r="E7" s="104">
        <v>0</v>
      </c>
      <c r="F7" s="104">
        <f t="shared" si="0"/>
        <v>9684.7800000000007</v>
      </c>
    </row>
    <row r="8" spans="1:6">
      <c r="A8" s="102" t="s">
        <v>54</v>
      </c>
      <c r="B8" s="103" t="s">
        <v>5</v>
      </c>
      <c r="C8" s="104">
        <v>833864.65</v>
      </c>
      <c r="D8" s="104">
        <v>2273.7800000000002</v>
      </c>
      <c r="E8" s="104"/>
      <c r="F8" s="104">
        <f t="shared" si="0"/>
        <v>836138.43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55</v>
      </c>
      <c r="B12" s="106"/>
      <c r="C12" s="107">
        <f>SUM(C4:C11)</f>
        <v>1157845.3900000001</v>
      </c>
      <c r="D12" s="107">
        <f>SUM(D4:D11)</f>
        <v>47753.05999999999</v>
      </c>
      <c r="E12" s="107">
        <f>SUM(E4:E11)</f>
        <v>11920</v>
      </c>
      <c r="F12" s="107">
        <f>SUM(F4:F11)</f>
        <v>1193678.4500000002</v>
      </c>
    </row>
    <row r="13" spans="1:6" ht="24" thickTop="1"/>
    <row r="16" spans="1:6">
      <c r="A16" s="473" t="s">
        <v>77</v>
      </c>
      <c r="B16" s="473"/>
      <c r="C16" s="473"/>
      <c r="D16" s="473"/>
      <c r="E16" s="473"/>
      <c r="F16" s="473"/>
    </row>
    <row r="17" spans="1:6">
      <c r="A17" s="473" t="s">
        <v>415</v>
      </c>
      <c r="B17" s="473"/>
      <c r="C17" s="473"/>
      <c r="D17" s="473"/>
      <c r="E17" s="473"/>
      <c r="F17" s="473"/>
    </row>
    <row r="18" spans="1:6">
      <c r="A18" s="108" t="s">
        <v>47</v>
      </c>
      <c r="B18" s="108" t="s">
        <v>2</v>
      </c>
      <c r="C18" s="108" t="s">
        <v>56</v>
      </c>
      <c r="D18" s="108" t="s">
        <v>409</v>
      </c>
      <c r="E18" s="108" t="s">
        <v>68</v>
      </c>
      <c r="F18" s="108" t="s">
        <v>50</v>
      </c>
    </row>
    <row r="19" spans="1:6">
      <c r="A19" s="524" t="s">
        <v>293</v>
      </c>
      <c r="B19" s="103"/>
      <c r="C19" s="104">
        <v>0</v>
      </c>
      <c r="D19" s="104">
        <f>2403500+474200+2795100</f>
        <v>5672800</v>
      </c>
      <c r="E19" s="104">
        <f>2373000+471400+33300+468500+436500</f>
        <v>3782700</v>
      </c>
      <c r="F19" s="104">
        <f t="shared" ref="F19:F29" si="1">C19+D19-E19</f>
        <v>1890100</v>
      </c>
    </row>
    <row r="20" spans="1:6">
      <c r="A20" s="524" t="s">
        <v>294</v>
      </c>
      <c r="B20" s="103"/>
      <c r="C20" s="104">
        <v>0</v>
      </c>
      <c r="D20" s="104">
        <f>270000+52000+300500</f>
        <v>622500</v>
      </c>
      <c r="E20" s="104">
        <f>262000+51500+8500+51000+43000</f>
        <v>416000</v>
      </c>
      <c r="F20" s="104">
        <f t="shared" si="1"/>
        <v>206500</v>
      </c>
    </row>
    <row r="21" spans="1:6">
      <c r="A21" s="524" t="s">
        <v>295</v>
      </c>
      <c r="B21" s="103"/>
      <c r="C21" s="104">
        <v>0</v>
      </c>
      <c r="D21" s="104">
        <f>86490+57660+28830+57660</f>
        <v>230640</v>
      </c>
      <c r="E21" s="104">
        <f>115320+57660</f>
        <v>172980</v>
      </c>
      <c r="F21" s="104">
        <f t="shared" si="1"/>
        <v>57660</v>
      </c>
    </row>
    <row r="22" spans="1:6">
      <c r="A22" s="524" t="s">
        <v>396</v>
      </c>
      <c r="B22" s="103"/>
      <c r="C22" s="104">
        <v>0</v>
      </c>
      <c r="D22" s="104">
        <f>48510+32340+16170+32340</f>
        <v>129360</v>
      </c>
      <c r="E22" s="104">
        <f>64680+32340</f>
        <v>97020</v>
      </c>
      <c r="F22" s="104">
        <f t="shared" si="1"/>
        <v>32340</v>
      </c>
    </row>
    <row r="23" spans="1:6">
      <c r="A23" s="524" t="s">
        <v>397</v>
      </c>
      <c r="B23" s="103"/>
      <c r="C23" s="104">
        <v>0</v>
      </c>
      <c r="D23" s="104">
        <f>84960+61680+149120</f>
        <v>295760</v>
      </c>
      <c r="E23" s="104">
        <v>146640</v>
      </c>
      <c r="F23" s="104">
        <f t="shared" si="1"/>
        <v>149120</v>
      </c>
    </row>
    <row r="24" spans="1:6">
      <c r="A24" s="524" t="s">
        <v>398</v>
      </c>
      <c r="B24" s="102"/>
      <c r="C24" s="104">
        <v>0</v>
      </c>
      <c r="D24" s="104">
        <f>50040+43320+90880</f>
        <v>184240</v>
      </c>
      <c r="E24" s="104">
        <v>93360</v>
      </c>
      <c r="F24" s="104">
        <f t="shared" si="1"/>
        <v>90880</v>
      </c>
    </row>
    <row r="25" spans="1:6">
      <c r="A25" s="524" t="s">
        <v>399</v>
      </c>
      <c r="B25" s="102"/>
      <c r="C25" s="104">
        <v>0</v>
      </c>
      <c r="D25" s="104">
        <f>5400+4050+1800+3600</f>
        <v>14850</v>
      </c>
      <c r="E25" s="104">
        <f>7650+1800+1800</f>
        <v>11250</v>
      </c>
      <c r="F25" s="104">
        <f t="shared" si="1"/>
        <v>3600</v>
      </c>
    </row>
    <row r="26" spans="1:6">
      <c r="A26" s="524" t="s">
        <v>400</v>
      </c>
      <c r="B26" s="102"/>
      <c r="C26" s="104">
        <v>0</v>
      </c>
      <c r="D26" s="104">
        <f>11163.5+160042</f>
        <v>171205.5</v>
      </c>
      <c r="E26" s="104">
        <v>11163.5</v>
      </c>
      <c r="F26" s="104">
        <f t="shared" si="1"/>
        <v>160042</v>
      </c>
    </row>
    <row r="27" spans="1:6">
      <c r="A27" s="524" t="s">
        <v>408</v>
      </c>
      <c r="B27" s="102"/>
      <c r="C27" s="104">
        <v>0</v>
      </c>
      <c r="D27" s="104">
        <v>10000</v>
      </c>
      <c r="E27" s="104">
        <v>9995</v>
      </c>
      <c r="F27" s="104">
        <f t="shared" si="1"/>
        <v>5</v>
      </c>
    </row>
    <row r="28" spans="1:6">
      <c r="A28" s="524" t="s">
        <v>410</v>
      </c>
      <c r="B28" s="102"/>
      <c r="C28" s="104">
        <v>0</v>
      </c>
      <c r="D28" s="104">
        <v>103800</v>
      </c>
      <c r="E28" s="104">
        <v>103800</v>
      </c>
      <c r="F28" s="104">
        <f t="shared" si="1"/>
        <v>0</v>
      </c>
    </row>
    <row r="29" spans="1:6">
      <c r="A29" s="524" t="s">
        <v>419</v>
      </c>
      <c r="B29" s="102"/>
      <c r="C29" s="104">
        <v>0</v>
      </c>
      <c r="D29" s="104">
        <v>56000</v>
      </c>
      <c r="E29" s="104">
        <v>14000</v>
      </c>
      <c r="F29" s="104">
        <f t="shared" si="1"/>
        <v>42000</v>
      </c>
    </row>
    <row r="30" spans="1:6" ht="24" thickBot="1">
      <c r="A30" s="105" t="s">
        <v>55</v>
      </c>
      <c r="B30" s="106"/>
      <c r="C30" s="107">
        <v>0</v>
      </c>
      <c r="D30" s="107">
        <f>SUM(D19:D29)</f>
        <v>7491155.5</v>
      </c>
      <c r="E30" s="107">
        <f>SUM(E19:E29)</f>
        <v>4858908.5</v>
      </c>
      <c r="F30" s="107">
        <f>SUM(F19:F29)</f>
        <v>2632247</v>
      </c>
    </row>
    <row r="31" spans="1:6" ht="24" thickTop="1"/>
  </sheetData>
  <mergeCells count="4">
    <mergeCell ref="A1:F1"/>
    <mergeCell ref="A2:F2"/>
    <mergeCell ref="A16:F16"/>
    <mergeCell ref="A17:F17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4"/>
  <sheetViews>
    <sheetView topLeftCell="A49" workbookViewId="0">
      <selection activeCell="B11" sqref="B11"/>
    </sheetView>
  </sheetViews>
  <sheetFormatPr defaultRowHeight="21.75"/>
  <cols>
    <col min="1" max="1" width="9.140625" style="171"/>
    <col min="2" max="2" width="32" style="171" customWidth="1"/>
    <col min="3" max="3" width="14.42578125" style="171" bestFit="1" customWidth="1"/>
    <col min="4" max="4" width="13.5703125" style="171" bestFit="1" customWidth="1"/>
    <col min="5" max="5" width="9.140625" style="171"/>
    <col min="6" max="6" width="14.42578125" style="171" bestFit="1" customWidth="1"/>
    <col min="7" max="7" width="9.140625" style="171"/>
    <col min="8" max="8" width="11" style="171" bestFit="1" customWidth="1"/>
    <col min="9" max="16384" width="9.140625" style="171"/>
  </cols>
  <sheetData>
    <row r="1" spans="1:8" ht="23.25">
      <c r="A1" s="474" t="s">
        <v>303</v>
      </c>
      <c r="B1" s="474"/>
      <c r="C1" s="474"/>
      <c r="D1" s="474"/>
      <c r="E1" s="474"/>
      <c r="F1" s="474"/>
    </row>
    <row r="2" spans="1:8" ht="23.25">
      <c r="A2" s="474" t="s">
        <v>254</v>
      </c>
      <c r="B2" s="474"/>
      <c r="C2" s="474"/>
      <c r="D2" s="474"/>
      <c r="E2" s="474"/>
      <c r="F2" s="474"/>
    </row>
    <row r="3" spans="1:8" ht="23.25">
      <c r="A3" s="474" t="s">
        <v>417</v>
      </c>
      <c r="B3" s="474"/>
      <c r="C3" s="474"/>
      <c r="D3" s="474"/>
      <c r="E3" s="474"/>
      <c r="F3" s="474"/>
    </row>
    <row r="4" spans="1:8" ht="23.25">
      <c r="A4" s="172" t="s">
        <v>255</v>
      </c>
      <c r="B4" s="172"/>
      <c r="C4" s="173"/>
      <c r="D4" s="173"/>
      <c r="E4" s="173"/>
      <c r="F4" s="174"/>
    </row>
    <row r="5" spans="1:8">
      <c r="A5" s="475" t="s">
        <v>72</v>
      </c>
      <c r="B5" s="476"/>
      <c r="C5" s="479" t="s">
        <v>70</v>
      </c>
      <c r="D5" s="479" t="s">
        <v>256</v>
      </c>
      <c r="E5" s="175" t="s">
        <v>257</v>
      </c>
      <c r="F5" s="175" t="s">
        <v>258</v>
      </c>
    </row>
    <row r="6" spans="1:8">
      <c r="A6" s="477"/>
      <c r="B6" s="478"/>
      <c r="C6" s="480"/>
      <c r="D6" s="480"/>
      <c r="E6" s="176" t="s">
        <v>259</v>
      </c>
      <c r="F6" s="176" t="s">
        <v>260</v>
      </c>
    </row>
    <row r="7" spans="1:8" s="181" customFormat="1" ht="21">
      <c r="A7" s="177" t="s">
        <v>261</v>
      </c>
      <c r="B7" s="178"/>
      <c r="C7" s="179">
        <f>C8+C12+C23+C26+C29+C33</f>
        <v>590020</v>
      </c>
      <c r="D7" s="179">
        <f>D8+D12+D23+D26+D29+D33</f>
        <v>859223.94</v>
      </c>
      <c r="E7" s="180" t="s">
        <v>407</v>
      </c>
      <c r="F7" s="179">
        <f>C7-D7</f>
        <v>-269203.93999999994</v>
      </c>
    </row>
    <row r="8" spans="1:8">
      <c r="A8" s="182" t="s">
        <v>129</v>
      </c>
      <c r="B8" s="183"/>
      <c r="C8" s="184">
        <f>SUM(C9:C11)</f>
        <v>167000</v>
      </c>
      <c r="D8" s="184">
        <f>D9+D10+D11</f>
        <v>206001.39999999997</v>
      </c>
      <c r="E8" s="185" t="s">
        <v>407</v>
      </c>
      <c r="F8" s="186">
        <f t="shared" ref="F8:F51" si="0">C8-D8</f>
        <v>-39001.399999999965</v>
      </c>
      <c r="H8" s="187"/>
    </row>
    <row r="9" spans="1:8">
      <c r="A9" s="188"/>
      <c r="B9" s="189" t="s">
        <v>262</v>
      </c>
      <c r="C9" s="190">
        <v>42000</v>
      </c>
      <c r="D9" s="190">
        <f>2760.42+38763.25</f>
        <v>41523.67</v>
      </c>
      <c r="E9" s="191" t="s">
        <v>5</v>
      </c>
      <c r="F9" s="192">
        <f t="shared" si="0"/>
        <v>476.33000000000175</v>
      </c>
    </row>
    <row r="10" spans="1:8">
      <c r="A10" s="188"/>
      <c r="B10" s="189" t="s">
        <v>263</v>
      </c>
      <c r="C10" s="190">
        <v>120000</v>
      </c>
      <c r="D10" s="190">
        <f>14543.49+211.82+680.85+6264.71+39025.61+53599.36+34373.58+10394.31</f>
        <v>159093.72999999998</v>
      </c>
      <c r="E10" s="191" t="s">
        <v>407</v>
      </c>
      <c r="F10" s="192">
        <f t="shared" si="0"/>
        <v>-39093.729999999981</v>
      </c>
    </row>
    <row r="11" spans="1:8">
      <c r="A11" s="188"/>
      <c r="B11" s="189" t="s">
        <v>264</v>
      </c>
      <c r="C11" s="190">
        <v>5000</v>
      </c>
      <c r="D11" s="190">
        <v>5384</v>
      </c>
      <c r="E11" s="193" t="s">
        <v>407</v>
      </c>
      <c r="F11" s="192">
        <f t="shared" si="0"/>
        <v>-384</v>
      </c>
    </row>
    <row r="12" spans="1:8">
      <c r="A12" s="182" t="s">
        <v>128</v>
      </c>
      <c r="B12" s="189"/>
      <c r="C12" s="184">
        <f>SUM(C13:C22)</f>
        <v>12020</v>
      </c>
      <c r="D12" s="184">
        <f>SUM(D13:D21)</f>
        <v>79474</v>
      </c>
      <c r="E12" s="185" t="s">
        <v>407</v>
      </c>
      <c r="F12" s="186">
        <f t="shared" si="0"/>
        <v>-67454</v>
      </c>
    </row>
    <row r="13" spans="1:8">
      <c r="A13" s="188"/>
      <c r="B13" s="189" t="s">
        <v>265</v>
      </c>
      <c r="C13" s="190">
        <v>20</v>
      </c>
      <c r="D13" s="194">
        <v>0</v>
      </c>
      <c r="E13" s="191" t="s">
        <v>5</v>
      </c>
      <c r="F13" s="192">
        <f t="shared" si="0"/>
        <v>20</v>
      </c>
    </row>
    <row r="14" spans="1:8">
      <c r="A14" s="188"/>
      <c r="B14" s="189" t="s">
        <v>266</v>
      </c>
      <c r="C14" s="190">
        <v>1000</v>
      </c>
      <c r="D14" s="194">
        <f>70+50+50+50</f>
        <v>220</v>
      </c>
      <c r="E14" s="191" t="s">
        <v>5</v>
      </c>
      <c r="F14" s="192">
        <f t="shared" si="0"/>
        <v>780</v>
      </c>
    </row>
    <row r="15" spans="1:8">
      <c r="A15" s="188"/>
      <c r="B15" s="189" t="s">
        <v>267</v>
      </c>
      <c r="C15" s="190">
        <v>0</v>
      </c>
      <c r="D15" s="194">
        <v>10</v>
      </c>
      <c r="E15" s="191" t="s">
        <v>407</v>
      </c>
      <c r="F15" s="192">
        <f t="shared" si="0"/>
        <v>-10</v>
      </c>
    </row>
    <row r="16" spans="1:8">
      <c r="A16" s="188"/>
      <c r="B16" s="189" t="s">
        <v>268</v>
      </c>
      <c r="C16" s="190">
        <v>1000</v>
      </c>
      <c r="D16" s="194">
        <v>1400</v>
      </c>
      <c r="E16" s="191" t="s">
        <v>407</v>
      </c>
      <c r="F16" s="192">
        <f t="shared" si="0"/>
        <v>-400</v>
      </c>
    </row>
    <row r="17" spans="1:6">
      <c r="A17" s="188"/>
      <c r="B17" s="195" t="s">
        <v>269</v>
      </c>
      <c r="C17" s="190">
        <v>0</v>
      </c>
      <c r="D17" s="194">
        <v>0</v>
      </c>
      <c r="E17" s="191" t="s">
        <v>5</v>
      </c>
      <c r="F17" s="192">
        <f t="shared" si="0"/>
        <v>0</v>
      </c>
    </row>
    <row r="18" spans="1:6">
      <c r="A18" s="188"/>
      <c r="B18" s="195" t="s">
        <v>270</v>
      </c>
      <c r="C18" s="190">
        <v>10000</v>
      </c>
      <c r="D18" s="194">
        <f>61904+300+15640</f>
        <v>77844</v>
      </c>
      <c r="E18" s="191" t="s">
        <v>407</v>
      </c>
      <c r="F18" s="192">
        <f t="shared" si="0"/>
        <v>-67844</v>
      </c>
    </row>
    <row r="19" spans="1:6">
      <c r="A19" s="188"/>
      <c r="B19" s="195" t="s">
        <v>271</v>
      </c>
      <c r="C19" s="190">
        <v>0</v>
      </c>
      <c r="D19" s="194">
        <v>0</v>
      </c>
      <c r="E19" s="191" t="s">
        <v>5</v>
      </c>
      <c r="F19" s="192">
        <f t="shared" si="0"/>
        <v>0</v>
      </c>
    </row>
    <row r="20" spans="1:6">
      <c r="A20" s="188"/>
      <c r="B20" s="195" t="s">
        <v>272</v>
      </c>
      <c r="C20" s="190">
        <v>0</v>
      </c>
      <c r="D20" s="194">
        <v>0</v>
      </c>
      <c r="E20" s="191" t="s">
        <v>5</v>
      </c>
      <c r="F20" s="192">
        <f t="shared" si="0"/>
        <v>0</v>
      </c>
    </row>
    <row r="21" spans="1:6">
      <c r="A21" s="188"/>
      <c r="B21" s="195" t="s">
        <v>273</v>
      </c>
      <c r="C21" s="190">
        <v>0</v>
      </c>
      <c r="D21" s="194">
        <v>0</v>
      </c>
      <c r="E21" s="191" t="s">
        <v>5</v>
      </c>
      <c r="F21" s="192">
        <f t="shared" si="0"/>
        <v>0</v>
      </c>
    </row>
    <row r="22" spans="1:6">
      <c r="A22" s="188"/>
      <c r="B22" s="195"/>
      <c r="C22" s="190"/>
      <c r="D22" s="194"/>
      <c r="E22" s="193"/>
      <c r="F22" s="196">
        <f t="shared" si="0"/>
        <v>0</v>
      </c>
    </row>
    <row r="23" spans="1:6">
      <c r="A23" s="197" t="s">
        <v>127</v>
      </c>
      <c r="B23" s="198"/>
      <c r="C23" s="184">
        <f>SUM(C24:C24)</f>
        <v>70000</v>
      </c>
      <c r="D23" s="184">
        <f>SUM(D24:D24)</f>
        <v>148013.53999999998</v>
      </c>
      <c r="E23" s="185" t="s">
        <v>407</v>
      </c>
      <c r="F23" s="186">
        <f t="shared" si="0"/>
        <v>-78013.539999999979</v>
      </c>
    </row>
    <row r="24" spans="1:6">
      <c r="A24" s="188"/>
      <c r="B24" s="195" t="s">
        <v>274</v>
      </c>
      <c r="C24" s="190">
        <v>70000</v>
      </c>
      <c r="D24" s="194">
        <f>48231.77+21078.47+27378.64+33050.14+18274.52</f>
        <v>148013.53999999998</v>
      </c>
      <c r="E24" s="191" t="s">
        <v>407</v>
      </c>
      <c r="F24" s="192">
        <f t="shared" si="0"/>
        <v>-78013.539999999979</v>
      </c>
    </row>
    <row r="25" spans="1:6">
      <c r="A25" s="188"/>
      <c r="B25" s="195"/>
      <c r="C25" s="190"/>
      <c r="D25" s="194"/>
      <c r="E25" s="193"/>
      <c r="F25" s="192">
        <f t="shared" si="0"/>
        <v>0</v>
      </c>
    </row>
    <row r="26" spans="1:6">
      <c r="A26" s="182" t="s">
        <v>126</v>
      </c>
      <c r="B26" s="198"/>
      <c r="C26" s="184">
        <f>SUM(C27)</f>
        <v>320000</v>
      </c>
      <c r="D26" s="199">
        <f>D27</f>
        <v>378435</v>
      </c>
      <c r="E26" s="191" t="s">
        <v>407</v>
      </c>
      <c r="F26" s="186">
        <f t="shared" si="0"/>
        <v>-58435</v>
      </c>
    </row>
    <row r="27" spans="1:6">
      <c r="A27" s="188"/>
      <c r="B27" s="189" t="s">
        <v>275</v>
      </c>
      <c r="C27" s="190">
        <v>320000</v>
      </c>
      <c r="D27" s="194">
        <f>40440+62700+38185+45135+43785+35450+35740+77000</f>
        <v>378435</v>
      </c>
      <c r="E27" s="191" t="s">
        <v>407</v>
      </c>
      <c r="F27" s="200">
        <f t="shared" si="0"/>
        <v>-58435</v>
      </c>
    </row>
    <row r="28" spans="1:6">
      <c r="A28" s="188"/>
      <c r="B28" s="195"/>
      <c r="C28" s="190"/>
      <c r="D28" s="194"/>
      <c r="E28" s="193"/>
      <c r="F28" s="192"/>
    </row>
    <row r="29" spans="1:6">
      <c r="A29" s="182" t="s">
        <v>125</v>
      </c>
      <c r="B29" s="198"/>
      <c r="C29" s="184">
        <f>SUM(C30:C31)</f>
        <v>21000</v>
      </c>
      <c r="D29" s="199">
        <f>D30+D31</f>
        <v>47300</v>
      </c>
      <c r="E29" s="185" t="s">
        <v>407</v>
      </c>
      <c r="F29" s="200">
        <f t="shared" si="0"/>
        <v>-26300</v>
      </c>
    </row>
    <row r="30" spans="1:6">
      <c r="A30" s="188"/>
      <c r="B30" s="189" t="s">
        <v>276</v>
      </c>
      <c r="C30" s="190">
        <v>20000</v>
      </c>
      <c r="D30" s="194">
        <f>1500+35800+4200</f>
        <v>41500</v>
      </c>
      <c r="E30" s="191" t="s">
        <v>407</v>
      </c>
      <c r="F30" s="200">
        <f t="shared" si="0"/>
        <v>-21500</v>
      </c>
    </row>
    <row r="31" spans="1:6">
      <c r="A31" s="188"/>
      <c r="B31" s="189" t="s">
        <v>277</v>
      </c>
      <c r="C31" s="190">
        <v>1000</v>
      </c>
      <c r="D31" s="194">
        <f>2700+1100+2000</f>
        <v>5800</v>
      </c>
      <c r="E31" s="191" t="s">
        <v>407</v>
      </c>
      <c r="F31" s="192">
        <f t="shared" si="0"/>
        <v>-4800</v>
      </c>
    </row>
    <row r="32" spans="1:6">
      <c r="A32" s="188"/>
      <c r="B32" s="189"/>
      <c r="C32" s="190"/>
      <c r="D32" s="194"/>
      <c r="E32" s="191"/>
      <c r="F32" s="192"/>
    </row>
    <row r="33" spans="1:7">
      <c r="A33" s="182" t="s">
        <v>278</v>
      </c>
      <c r="B33" s="198"/>
      <c r="C33" s="184">
        <f>SUM(C34)</f>
        <v>0</v>
      </c>
      <c r="D33" s="199">
        <f>D34</f>
        <v>0</v>
      </c>
      <c r="E33" s="185" t="s">
        <v>5</v>
      </c>
      <c r="F33" s="200">
        <f>C33-D33</f>
        <v>0</v>
      </c>
    </row>
    <row r="34" spans="1:7">
      <c r="A34" s="188"/>
      <c r="B34" s="189" t="s">
        <v>279</v>
      </c>
      <c r="C34" s="190">
        <v>0</v>
      </c>
      <c r="D34" s="194">
        <v>0</v>
      </c>
      <c r="E34" s="191" t="s">
        <v>5</v>
      </c>
      <c r="F34" s="200">
        <f>C34-D34</f>
        <v>0</v>
      </c>
    </row>
    <row r="35" spans="1:7">
      <c r="A35" s="188"/>
      <c r="B35" s="189"/>
      <c r="C35" s="190"/>
      <c r="D35" s="194"/>
      <c r="E35" s="191"/>
      <c r="F35" s="192"/>
    </row>
    <row r="36" spans="1:7">
      <c r="A36" s="188"/>
      <c r="B36" s="189"/>
      <c r="C36" s="190"/>
      <c r="D36" s="194"/>
      <c r="E36" s="191"/>
      <c r="F36" s="192"/>
    </row>
    <row r="37" spans="1:7">
      <c r="A37" s="188"/>
      <c r="B37" s="189"/>
      <c r="C37" s="190"/>
      <c r="D37" s="194"/>
      <c r="E37" s="191"/>
      <c r="F37" s="192"/>
    </row>
    <row r="38" spans="1:7">
      <c r="A38" s="336"/>
      <c r="B38" s="337"/>
      <c r="C38" s="338"/>
      <c r="D38" s="339"/>
      <c r="E38" s="340"/>
      <c r="F38" s="208"/>
    </row>
    <row r="39" spans="1:7" s="181" customFormat="1" ht="21">
      <c r="A39" s="177" t="s">
        <v>280</v>
      </c>
      <c r="B39" s="178"/>
      <c r="C39" s="206"/>
      <c r="D39" s="206"/>
      <c r="E39" s="341"/>
      <c r="F39" s="179"/>
    </row>
    <row r="40" spans="1:7" s="181" customFormat="1">
      <c r="A40" s="204" t="s">
        <v>124</v>
      </c>
      <c r="B40" s="205"/>
      <c r="C40" s="206">
        <f>SUM(C41:C49)</f>
        <v>10937000</v>
      </c>
      <c r="D40" s="206">
        <f>SUM(D41:D49)</f>
        <v>10285269.970000001</v>
      </c>
      <c r="E40" s="207" t="s">
        <v>5</v>
      </c>
      <c r="F40" s="186">
        <f t="shared" si="0"/>
        <v>651730.02999999933</v>
      </c>
    </row>
    <row r="41" spans="1:7">
      <c r="A41" s="188"/>
      <c r="B41" s="189" t="s">
        <v>281</v>
      </c>
      <c r="C41" s="190">
        <v>4600000</v>
      </c>
      <c r="D41" s="190">
        <f>592574.85+565573.34+95081.74+1228421.34+2529703.13</f>
        <v>5011354.4000000004</v>
      </c>
      <c r="E41" s="191" t="s">
        <v>407</v>
      </c>
      <c r="F41" s="192">
        <f t="shared" si="0"/>
        <v>-411354.40000000037</v>
      </c>
    </row>
    <row r="42" spans="1:7">
      <c r="A42" s="188"/>
      <c r="B42" s="189" t="s">
        <v>282</v>
      </c>
      <c r="C42" s="190">
        <v>2400000</v>
      </c>
      <c r="D42" s="190">
        <f>188843.21+300892.09+487185.15+544918.94+500580.08</f>
        <v>2022419.4700000002</v>
      </c>
      <c r="E42" s="191" t="s">
        <v>5</v>
      </c>
      <c r="F42" s="192">
        <f t="shared" si="0"/>
        <v>377580.5299999998</v>
      </c>
    </row>
    <row r="43" spans="1:7">
      <c r="A43" s="188"/>
      <c r="B43" s="189" t="s">
        <v>283</v>
      </c>
      <c r="C43" s="190">
        <v>75000</v>
      </c>
      <c r="D43" s="190">
        <v>66883.44</v>
      </c>
      <c r="E43" s="191" t="s">
        <v>5</v>
      </c>
      <c r="F43" s="192">
        <f t="shared" si="0"/>
        <v>8116.5599999999977</v>
      </c>
    </row>
    <row r="44" spans="1:7">
      <c r="A44" s="188"/>
      <c r="B44" s="189" t="s">
        <v>284</v>
      </c>
      <c r="C44" s="190">
        <v>1200000</v>
      </c>
      <c r="D44" s="190">
        <f>92757.71+115256.76+251665.26+216292.98+247368.13</f>
        <v>923340.84</v>
      </c>
      <c r="E44" s="191" t="s">
        <v>5</v>
      </c>
      <c r="F44" s="192">
        <f t="shared" si="0"/>
        <v>276659.16000000003</v>
      </c>
    </row>
    <row r="45" spans="1:7">
      <c r="A45" s="188" t="s">
        <v>285</v>
      </c>
      <c r="B45" s="189" t="s">
        <v>286</v>
      </c>
      <c r="C45" s="190">
        <v>2300000</v>
      </c>
      <c r="D45" s="190">
        <f>239048.88+254365.91+561227.27+479884.27+515546.8</f>
        <v>2050073.1300000001</v>
      </c>
      <c r="E45" s="191" t="s">
        <v>5</v>
      </c>
      <c r="F45" s="192">
        <f t="shared" si="0"/>
        <v>249926.86999999988</v>
      </c>
    </row>
    <row r="46" spans="1:7">
      <c r="A46" s="188"/>
      <c r="B46" s="189" t="s">
        <v>287</v>
      </c>
      <c r="C46" s="190">
        <v>80000</v>
      </c>
      <c r="D46" s="190">
        <v>0</v>
      </c>
      <c r="E46" s="191" t="s">
        <v>5</v>
      </c>
      <c r="F46" s="192">
        <f t="shared" si="0"/>
        <v>80000</v>
      </c>
    </row>
    <row r="47" spans="1:7">
      <c r="A47" s="188"/>
      <c r="B47" s="189" t="s">
        <v>288</v>
      </c>
      <c r="C47" s="190">
        <v>100000</v>
      </c>
      <c r="D47" s="190">
        <f>31243.19+53365.3+36676.17+31297.03</f>
        <v>152581.69</v>
      </c>
      <c r="E47" s="191" t="s">
        <v>407</v>
      </c>
      <c r="F47" s="192">
        <f t="shared" si="0"/>
        <v>-52581.69</v>
      </c>
    </row>
    <row r="48" spans="1:7">
      <c r="A48" s="188"/>
      <c r="B48" s="189" t="s">
        <v>289</v>
      </c>
      <c r="C48" s="190">
        <v>180000</v>
      </c>
      <c r="D48" s="190">
        <f>3794+7978+6237+16186+1666+21736</f>
        <v>57597</v>
      </c>
      <c r="E48" s="191" t="s">
        <v>5</v>
      </c>
      <c r="F48" s="192">
        <f t="shared" si="0"/>
        <v>122403</v>
      </c>
      <c r="G48" s="187"/>
    </row>
    <row r="49" spans="1:7">
      <c r="A49" s="188"/>
      <c r="B49" s="189" t="s">
        <v>385</v>
      </c>
      <c r="C49" s="190">
        <v>2000</v>
      </c>
      <c r="D49" s="190">
        <v>1020</v>
      </c>
      <c r="E49" s="191" t="s">
        <v>5</v>
      </c>
      <c r="F49" s="208">
        <f t="shared" si="0"/>
        <v>980</v>
      </c>
      <c r="G49" s="187"/>
    </row>
    <row r="50" spans="1:7" s="181" customFormat="1">
      <c r="A50" s="202" t="s">
        <v>290</v>
      </c>
      <c r="B50" s="203"/>
      <c r="C50" s="209">
        <f>SUM(C51:C63)</f>
        <v>10700000</v>
      </c>
      <c r="D50" s="209">
        <f>SUM(D51)</f>
        <v>10992200.43</v>
      </c>
      <c r="E50" s="207" t="s">
        <v>407</v>
      </c>
      <c r="F50" s="192">
        <f t="shared" si="0"/>
        <v>-292200.4299999997</v>
      </c>
    </row>
    <row r="51" spans="1:7">
      <c r="A51" s="188"/>
      <c r="B51" s="189" t="s">
        <v>291</v>
      </c>
      <c r="C51" s="194">
        <v>10700000</v>
      </c>
      <c r="D51" s="201">
        <f>4430138.43+6562062</f>
        <v>10992200.43</v>
      </c>
      <c r="E51" s="193" t="s">
        <v>407</v>
      </c>
      <c r="F51" s="200">
        <f t="shared" si="0"/>
        <v>-292200.4299999997</v>
      </c>
    </row>
    <row r="52" spans="1:7">
      <c r="A52" s="188"/>
      <c r="B52" s="189"/>
      <c r="C52" s="194"/>
      <c r="D52" s="201"/>
      <c r="E52" s="193"/>
      <c r="F52" s="190"/>
    </row>
    <row r="53" spans="1:7">
      <c r="A53" s="202" t="s">
        <v>292</v>
      </c>
      <c r="B53" s="203"/>
      <c r="C53" s="209"/>
      <c r="D53" s="209">
        <f>SUM(D54:D64)</f>
        <v>7491155.5</v>
      </c>
      <c r="E53" s="207" t="s">
        <v>5</v>
      </c>
      <c r="F53" s="206">
        <v>0</v>
      </c>
    </row>
    <row r="54" spans="1:7">
      <c r="A54" s="202"/>
      <c r="B54" s="189" t="s">
        <v>293</v>
      </c>
      <c r="C54" s="190"/>
      <c r="D54" s="190">
        <f>2403500+474200+2795100</f>
        <v>5672800</v>
      </c>
      <c r="E54" s="193" t="s">
        <v>5</v>
      </c>
      <c r="F54" s="190">
        <f t="shared" ref="F54:F64" si="1">D54</f>
        <v>5672800</v>
      </c>
    </row>
    <row r="55" spans="1:7">
      <c r="A55" s="188"/>
      <c r="B55" s="189" t="s">
        <v>294</v>
      </c>
      <c r="C55" s="190"/>
      <c r="D55" s="190">
        <f>270000+52000+300500</f>
        <v>622500</v>
      </c>
      <c r="E55" s="193" t="s">
        <v>5</v>
      </c>
      <c r="F55" s="190">
        <f t="shared" si="1"/>
        <v>622500</v>
      </c>
    </row>
    <row r="56" spans="1:7">
      <c r="A56" s="188"/>
      <c r="B56" s="189" t="s">
        <v>295</v>
      </c>
      <c r="C56" s="190"/>
      <c r="D56" s="190">
        <f>86490+57660+28830+57660</f>
        <v>230640</v>
      </c>
      <c r="E56" s="193" t="s">
        <v>5</v>
      </c>
      <c r="F56" s="190">
        <f t="shared" si="1"/>
        <v>230640</v>
      </c>
    </row>
    <row r="57" spans="1:7">
      <c r="A57" s="188"/>
      <c r="B57" s="189" t="s">
        <v>396</v>
      </c>
      <c r="C57" s="190"/>
      <c r="D57" s="190">
        <f>48510+32340+16170+32340</f>
        <v>129360</v>
      </c>
      <c r="E57" s="193" t="s">
        <v>5</v>
      </c>
      <c r="F57" s="190">
        <f t="shared" si="1"/>
        <v>129360</v>
      </c>
    </row>
    <row r="58" spans="1:7">
      <c r="A58" s="188"/>
      <c r="B58" s="189" t="s">
        <v>397</v>
      </c>
      <c r="C58" s="190"/>
      <c r="D58" s="190">
        <f>84960+61680+149120</f>
        <v>295760</v>
      </c>
      <c r="E58" s="193" t="s">
        <v>5</v>
      </c>
      <c r="F58" s="190">
        <f t="shared" si="1"/>
        <v>295760</v>
      </c>
    </row>
    <row r="59" spans="1:7">
      <c r="A59" s="188"/>
      <c r="B59" s="189" t="s">
        <v>398</v>
      </c>
      <c r="C59" s="190"/>
      <c r="D59" s="190">
        <f>50040+43320+90880</f>
        <v>184240</v>
      </c>
      <c r="E59" s="193" t="s">
        <v>5</v>
      </c>
      <c r="F59" s="190">
        <f t="shared" si="1"/>
        <v>184240</v>
      </c>
    </row>
    <row r="60" spans="1:7">
      <c r="A60" s="188"/>
      <c r="B60" s="189" t="s">
        <v>399</v>
      </c>
      <c r="C60" s="190"/>
      <c r="D60" s="190">
        <f>5400+4050+1800+3600</f>
        <v>14850</v>
      </c>
      <c r="E60" s="193" t="s">
        <v>5</v>
      </c>
      <c r="F60" s="190">
        <f t="shared" si="1"/>
        <v>14850</v>
      </c>
    </row>
    <row r="61" spans="1:7">
      <c r="A61" s="188"/>
      <c r="B61" s="189" t="s">
        <v>400</v>
      </c>
      <c r="C61" s="190"/>
      <c r="D61" s="190">
        <f>11163.5+160042</f>
        <v>171205.5</v>
      </c>
      <c r="E61" s="193" t="s">
        <v>5</v>
      </c>
      <c r="F61" s="190">
        <f t="shared" si="1"/>
        <v>171205.5</v>
      </c>
    </row>
    <row r="62" spans="1:7">
      <c r="A62" s="188"/>
      <c r="B62" s="189" t="s">
        <v>420</v>
      </c>
      <c r="C62" s="190"/>
      <c r="D62" s="190">
        <v>56000</v>
      </c>
      <c r="E62" s="193" t="s">
        <v>5</v>
      </c>
      <c r="F62" s="190">
        <f t="shared" si="1"/>
        <v>56000</v>
      </c>
    </row>
    <row r="63" spans="1:7">
      <c r="A63" s="188"/>
      <c r="B63" s="189" t="s">
        <v>408</v>
      </c>
      <c r="C63" s="190"/>
      <c r="D63" s="190">
        <v>10000</v>
      </c>
      <c r="E63" s="193" t="s">
        <v>5</v>
      </c>
      <c r="F63" s="190">
        <f t="shared" si="1"/>
        <v>10000</v>
      </c>
    </row>
    <row r="64" spans="1:7">
      <c r="A64" s="188"/>
      <c r="B64" s="189" t="s">
        <v>410</v>
      </c>
      <c r="C64" s="190"/>
      <c r="D64" s="190">
        <v>103800</v>
      </c>
      <c r="E64" s="193" t="s">
        <v>5</v>
      </c>
      <c r="F64" s="190">
        <f t="shared" si="1"/>
        <v>103800</v>
      </c>
    </row>
    <row r="65" spans="1:8" s="181" customFormat="1" ht="21">
      <c r="A65" s="210" t="s">
        <v>296</v>
      </c>
      <c r="B65" s="211"/>
      <c r="C65" s="209">
        <f>+C7+C40+C50</f>
        <v>22227020</v>
      </c>
      <c r="D65" s="209">
        <f>D7+D40+D50</f>
        <v>22136694.34</v>
      </c>
      <c r="E65" s="207" t="s">
        <v>5</v>
      </c>
      <c r="F65" s="206">
        <f>+C65-D65</f>
        <v>90325.660000000149</v>
      </c>
      <c r="G65" s="212"/>
    </row>
    <row r="66" spans="1:8" s="181" customFormat="1" ht="21">
      <c r="A66" s="213"/>
      <c r="B66" s="214"/>
      <c r="C66" s="215"/>
      <c r="D66" s="215"/>
      <c r="E66" s="216"/>
      <c r="F66" s="217"/>
      <c r="G66" s="212"/>
    </row>
    <row r="67" spans="1:8">
      <c r="A67" s="218"/>
      <c r="B67" s="218"/>
      <c r="C67" s="218"/>
      <c r="D67" s="218"/>
      <c r="E67" s="218"/>
      <c r="F67" s="218"/>
    </row>
    <row r="68" spans="1:8">
      <c r="A68" s="219"/>
      <c r="B68" s="219"/>
      <c r="C68" s="219"/>
      <c r="D68" s="219"/>
      <c r="E68" s="219"/>
      <c r="F68" s="218"/>
    </row>
    <row r="69" spans="1:8">
      <c r="A69" s="219"/>
      <c r="B69" s="219"/>
      <c r="C69" s="219"/>
      <c r="D69" s="219"/>
      <c r="E69" s="219"/>
      <c r="F69" s="218"/>
    </row>
    <row r="70" spans="1:8">
      <c r="D70" s="220"/>
      <c r="F70" s="187"/>
      <c r="H70" s="187"/>
    </row>
    <row r="71" spans="1:8">
      <c r="D71" s="220"/>
      <c r="F71" s="187"/>
    </row>
    <row r="72" spans="1:8">
      <c r="D72" s="220"/>
    </row>
    <row r="73" spans="1:8">
      <c r="D73" s="220"/>
    </row>
    <row r="74" spans="1:8">
      <c r="D74" s="220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20" sqref="B20"/>
    </sheetView>
  </sheetViews>
  <sheetFormatPr defaultRowHeight="12.75"/>
  <cols>
    <col min="2" max="2" width="43.42578125" customWidth="1"/>
    <col min="3" max="3" width="13.140625" customWidth="1"/>
    <col min="4" max="4" width="12.140625" customWidth="1"/>
    <col min="5" max="5" width="12.7109375" customWidth="1"/>
  </cols>
  <sheetData>
    <row r="1" spans="1:8" ht="23.25">
      <c r="A1" s="474" t="s">
        <v>303</v>
      </c>
      <c r="B1" s="474"/>
      <c r="C1" s="474"/>
      <c r="D1" s="474"/>
      <c r="E1" s="474"/>
    </row>
    <row r="2" spans="1:8" ht="23.25">
      <c r="A2" s="474" t="s">
        <v>298</v>
      </c>
      <c r="B2" s="474"/>
      <c r="C2" s="474"/>
      <c r="D2" s="474"/>
      <c r="E2" s="474"/>
    </row>
    <row r="3" spans="1:8" ht="23.25">
      <c r="A3" s="474" t="s">
        <v>418</v>
      </c>
      <c r="B3" s="474"/>
      <c r="C3" s="474"/>
      <c r="D3" s="474"/>
      <c r="E3" s="474"/>
    </row>
    <row r="4" spans="1:8" ht="23.25">
      <c r="A4" s="221" t="s">
        <v>386</v>
      </c>
      <c r="B4" s="222"/>
      <c r="C4" s="222"/>
      <c r="D4" s="222"/>
      <c r="E4" s="222"/>
    </row>
    <row r="5" spans="1:8" ht="23.25">
      <c r="A5" s="221"/>
      <c r="B5" s="222"/>
      <c r="C5" s="222"/>
      <c r="D5" s="222"/>
      <c r="E5" s="222"/>
    </row>
    <row r="6" spans="1:8" ht="28.5" customHeight="1">
      <c r="A6" s="483" t="s">
        <v>299</v>
      </c>
      <c r="B6" s="483" t="s">
        <v>68</v>
      </c>
      <c r="C6" s="483" t="s">
        <v>300</v>
      </c>
      <c r="D6" s="483" t="s">
        <v>301</v>
      </c>
      <c r="E6" s="483" t="s">
        <v>302</v>
      </c>
    </row>
    <row r="7" spans="1:8" ht="38.25" customHeight="1">
      <c r="A7" s="484"/>
      <c r="B7" s="484"/>
      <c r="C7" s="484"/>
      <c r="D7" s="484"/>
      <c r="E7" s="484"/>
    </row>
    <row r="8" spans="1:8" ht="21.75">
      <c r="A8" s="223"/>
      <c r="B8" s="224"/>
      <c r="C8" s="225"/>
      <c r="D8" s="225"/>
      <c r="E8" s="226"/>
    </row>
    <row r="9" spans="1:8" ht="21.75">
      <c r="A9" s="226">
        <v>1</v>
      </c>
      <c r="B9" s="227" t="s">
        <v>382</v>
      </c>
      <c r="C9" s="228">
        <v>490000</v>
      </c>
      <c r="D9" s="228">
        <v>456400</v>
      </c>
      <c r="E9" s="228">
        <f>+C9-D9</f>
        <v>33600</v>
      </c>
    </row>
    <row r="10" spans="1:8" ht="21.75">
      <c r="A10" s="229">
        <v>2</v>
      </c>
      <c r="B10" s="227" t="s">
        <v>383</v>
      </c>
      <c r="C10" s="228">
        <v>106500</v>
      </c>
      <c r="D10" s="228">
        <v>106500</v>
      </c>
      <c r="E10" s="228">
        <f t="shared" ref="E10:E13" si="0">+C10-D10</f>
        <v>0</v>
      </c>
    </row>
    <row r="11" spans="1:8" ht="21.75">
      <c r="A11" s="229">
        <v>3</v>
      </c>
      <c r="B11" s="227" t="s">
        <v>384</v>
      </c>
      <c r="C11" s="228">
        <v>184000</v>
      </c>
      <c r="D11" s="228">
        <v>184000</v>
      </c>
      <c r="E11" s="228">
        <f t="shared" si="0"/>
        <v>0</v>
      </c>
    </row>
    <row r="12" spans="1:8" ht="21.75">
      <c r="A12" s="229">
        <v>4</v>
      </c>
      <c r="B12" s="227" t="s">
        <v>392</v>
      </c>
      <c r="C12" s="228">
        <v>153000</v>
      </c>
      <c r="D12" s="228">
        <v>152000</v>
      </c>
      <c r="E12" s="228">
        <f t="shared" si="0"/>
        <v>1000</v>
      </c>
    </row>
    <row r="13" spans="1:8" ht="21.75">
      <c r="A13" s="229">
        <v>5</v>
      </c>
      <c r="B13" s="227" t="s">
        <v>402</v>
      </c>
      <c r="C13" s="228">
        <v>652000</v>
      </c>
      <c r="D13" s="228">
        <v>652000</v>
      </c>
      <c r="E13" s="228">
        <f t="shared" si="0"/>
        <v>0</v>
      </c>
    </row>
    <row r="14" spans="1:8" ht="21.75">
      <c r="A14" s="229"/>
      <c r="B14" s="227"/>
      <c r="C14" s="228"/>
      <c r="D14" s="228"/>
      <c r="E14" s="228"/>
      <c r="H14" s="113"/>
    </row>
    <row r="15" spans="1:8" ht="21.75">
      <c r="A15" s="229"/>
      <c r="B15" s="227"/>
      <c r="C15" s="228"/>
      <c r="D15" s="228"/>
      <c r="E15" s="228"/>
    </row>
    <row r="16" spans="1:8" ht="21.75">
      <c r="A16" s="229"/>
      <c r="B16" s="227"/>
      <c r="C16" s="228"/>
      <c r="D16" s="228"/>
      <c r="E16" s="228"/>
    </row>
    <row r="17" spans="1:8" ht="21.75">
      <c r="A17" s="229"/>
      <c r="B17" s="227"/>
      <c r="C17" s="228"/>
      <c r="D17" s="228"/>
      <c r="E17" s="228"/>
    </row>
    <row r="18" spans="1:8" ht="21.75">
      <c r="A18" s="229"/>
      <c r="B18" s="227"/>
      <c r="C18" s="228"/>
      <c r="D18" s="228"/>
      <c r="E18" s="228"/>
    </row>
    <row r="19" spans="1:8" ht="21.75">
      <c r="A19" s="229"/>
      <c r="B19" s="227"/>
      <c r="C19" s="228"/>
      <c r="D19" s="228"/>
      <c r="E19" s="228"/>
    </row>
    <row r="20" spans="1:8" ht="21.75">
      <c r="A20" s="229"/>
      <c r="B20" s="227"/>
      <c r="C20" s="228"/>
      <c r="D20" s="228"/>
      <c r="E20" s="228"/>
    </row>
    <row r="21" spans="1:8" ht="21.75">
      <c r="A21" s="229"/>
      <c r="B21" s="227"/>
      <c r="C21" s="228"/>
      <c r="D21" s="228"/>
      <c r="E21" s="228"/>
    </row>
    <row r="22" spans="1:8" ht="21.75">
      <c r="A22" s="229"/>
      <c r="B22" s="227"/>
      <c r="C22" s="228"/>
      <c r="D22" s="228"/>
      <c r="E22" s="228"/>
    </row>
    <row r="23" spans="1:8" ht="21.75">
      <c r="A23" s="229"/>
      <c r="B23" s="224"/>
      <c r="C23" s="228"/>
      <c r="D23" s="228"/>
      <c r="E23" s="228"/>
    </row>
    <row r="24" spans="1:8" ht="21.75">
      <c r="A24" s="229"/>
      <c r="B24" s="227"/>
      <c r="C24" s="228"/>
      <c r="D24" s="228"/>
      <c r="E24" s="228"/>
    </row>
    <row r="25" spans="1:8" ht="21.75">
      <c r="A25" s="229"/>
      <c r="B25" s="227"/>
      <c r="C25" s="228"/>
      <c r="D25" s="228"/>
      <c r="E25" s="228"/>
    </row>
    <row r="26" spans="1:8" ht="21.75">
      <c r="A26" s="229"/>
      <c r="B26" s="227"/>
      <c r="C26" s="228"/>
      <c r="D26" s="228"/>
      <c r="E26" s="228"/>
    </row>
    <row r="27" spans="1:8" ht="21.75">
      <c r="A27" s="229"/>
      <c r="B27" s="230"/>
      <c r="C27" s="228"/>
      <c r="D27" s="228"/>
      <c r="E27" s="228"/>
    </row>
    <row r="28" spans="1:8" ht="21.75">
      <c r="A28" s="229"/>
      <c r="B28" s="227"/>
      <c r="C28" s="228"/>
      <c r="D28" s="228"/>
      <c r="E28" s="228"/>
    </row>
    <row r="29" spans="1:8" ht="21.75">
      <c r="A29" s="229"/>
      <c r="B29" s="227"/>
      <c r="C29" s="228"/>
      <c r="D29" s="228"/>
      <c r="E29" s="228"/>
    </row>
    <row r="30" spans="1:8" ht="22.5" thickBot="1">
      <c r="A30" s="481" t="s">
        <v>55</v>
      </c>
      <c r="B30" s="482"/>
      <c r="C30" s="231">
        <f>SUM(C9:C25)</f>
        <v>1585500</v>
      </c>
      <c r="D30" s="231">
        <f>SUM(D9:D29)</f>
        <v>1550900</v>
      </c>
      <c r="E30" s="231">
        <f>SUM(E9:E29)</f>
        <v>34600</v>
      </c>
      <c r="G30" s="232"/>
      <c r="H30" s="232"/>
    </row>
    <row r="31" spans="1:8" ht="13.5" thickTop="1"/>
    <row r="33" spans="1:5" ht="21.75">
      <c r="A33" s="218"/>
      <c r="B33" s="218"/>
      <c r="C33" s="218"/>
      <c r="D33" s="218"/>
      <c r="E33" s="218"/>
    </row>
    <row r="34" spans="1:5" ht="21.75">
      <c r="A34" s="219"/>
      <c r="B34" s="219"/>
      <c r="C34" s="219"/>
      <c r="D34" s="219"/>
      <c r="E34" s="219"/>
    </row>
    <row r="35" spans="1:5" ht="21.75">
      <c r="A35" s="219"/>
      <c r="B35" s="219"/>
      <c r="C35" s="219"/>
      <c r="D35" s="219"/>
      <c r="E35" s="219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25" workbookViewId="0">
      <selection activeCell="D8" sqref="D8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87" t="s">
        <v>23</v>
      </c>
      <c r="B1" s="488"/>
      <c r="C1" s="488"/>
      <c r="D1" s="488"/>
      <c r="E1" s="488"/>
      <c r="F1" s="488"/>
      <c r="G1" s="489"/>
      <c r="H1" s="487" t="s">
        <v>24</v>
      </c>
      <c r="I1" s="488"/>
      <c r="J1" s="489"/>
      <c r="K1" s="1"/>
    </row>
    <row r="2" spans="1:12" ht="21.75" customHeight="1">
      <c r="A2" s="490" t="s">
        <v>25</v>
      </c>
      <c r="B2" s="491"/>
      <c r="C2" s="491"/>
      <c r="D2" s="491"/>
      <c r="E2" s="491"/>
      <c r="F2" s="491"/>
      <c r="G2" s="492"/>
      <c r="H2" s="493" t="s">
        <v>170</v>
      </c>
      <c r="I2" s="494"/>
      <c r="J2" s="495"/>
    </row>
    <row r="3" spans="1:12" ht="12.75" customHeight="1">
      <c r="A3" s="3"/>
      <c r="B3" s="4"/>
      <c r="C3" s="5"/>
      <c r="D3" s="6"/>
      <c r="E3" s="5"/>
      <c r="F3" s="5"/>
      <c r="G3" s="7"/>
      <c r="H3" s="496" t="s">
        <v>27</v>
      </c>
      <c r="I3" s="497"/>
      <c r="J3" s="498"/>
    </row>
    <row r="4" spans="1:12" ht="18.75" customHeight="1">
      <c r="A4" s="8"/>
      <c r="B4" s="9" t="s">
        <v>403</v>
      </c>
      <c r="C4" s="9"/>
      <c r="D4" s="9"/>
      <c r="E4" s="499" t="s">
        <v>421</v>
      </c>
      <c r="F4" s="499"/>
      <c r="G4" s="10"/>
      <c r="H4" s="11"/>
      <c r="I4" s="12">
        <v>21602396.469999999</v>
      </c>
      <c r="J4" s="13"/>
    </row>
    <row r="5" spans="1:12" ht="17.25" customHeight="1">
      <c r="A5" s="8"/>
      <c r="B5" s="14" t="s">
        <v>164</v>
      </c>
      <c r="C5" s="9"/>
      <c r="D5" s="9"/>
      <c r="E5" s="9"/>
      <c r="F5" s="9"/>
      <c r="G5" s="10"/>
      <c r="H5" s="8"/>
      <c r="I5" s="9"/>
      <c r="J5" s="10"/>
      <c r="L5" s="27">
        <f>I4+I7</f>
        <v>21602396.469999999</v>
      </c>
    </row>
    <row r="6" spans="1:12" ht="16.5" customHeight="1">
      <c r="A6" s="8"/>
      <c r="B6" s="15" t="s">
        <v>29</v>
      </c>
      <c r="C6" s="16"/>
      <c r="D6" s="15" t="s">
        <v>30</v>
      </c>
      <c r="E6" s="16"/>
      <c r="F6" s="17" t="s">
        <v>31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35</v>
      </c>
      <c r="C9" s="9"/>
      <c r="D9" s="9"/>
      <c r="E9" s="9"/>
      <c r="F9" s="9"/>
      <c r="G9" s="10"/>
      <c r="H9" s="8"/>
      <c r="I9" s="9"/>
      <c r="J9" s="10"/>
      <c r="L9" s="90">
        <f>L5-I33</f>
        <v>104589.75</v>
      </c>
    </row>
    <row r="10" spans="1:12" ht="18.95" customHeight="1">
      <c r="A10" s="8"/>
      <c r="B10" s="111"/>
      <c r="C10" s="9"/>
      <c r="D10" s="111" t="s">
        <v>37</v>
      </c>
      <c r="E10" s="9"/>
      <c r="F10" s="19" t="s">
        <v>31</v>
      </c>
      <c r="G10" s="10"/>
      <c r="H10" s="8"/>
      <c r="I10" s="9"/>
      <c r="J10" s="10"/>
    </row>
    <row r="11" spans="1:12" ht="18.95" customHeight="1">
      <c r="A11" s="8"/>
      <c r="B11" s="20" t="s">
        <v>411</v>
      </c>
      <c r="C11" s="370" t="s">
        <v>182</v>
      </c>
      <c r="D11" s="355">
        <v>2818590</v>
      </c>
      <c r="E11" s="9"/>
      <c r="F11" s="21">
        <v>410</v>
      </c>
      <c r="G11" s="10"/>
      <c r="H11" s="8"/>
      <c r="I11" s="9"/>
      <c r="J11" s="10"/>
    </row>
    <row r="12" spans="1:12" ht="18.95" customHeight="1">
      <c r="A12" s="8"/>
      <c r="B12" s="20" t="s">
        <v>412</v>
      </c>
      <c r="C12" s="370" t="s">
        <v>182</v>
      </c>
      <c r="D12" s="355">
        <v>2818593</v>
      </c>
      <c r="E12" s="9"/>
      <c r="F12" s="21">
        <v>1100</v>
      </c>
      <c r="G12" s="10"/>
      <c r="H12" s="8"/>
      <c r="I12" s="9"/>
      <c r="J12" s="10"/>
    </row>
    <row r="13" spans="1:12" ht="18.95" customHeight="1">
      <c r="A13" s="8"/>
      <c r="B13" s="20" t="s">
        <v>422</v>
      </c>
      <c r="C13" s="373" t="s">
        <v>182</v>
      </c>
      <c r="D13" s="109">
        <v>2818608</v>
      </c>
      <c r="E13" s="9"/>
      <c r="F13" s="110">
        <v>765</v>
      </c>
      <c r="G13" s="10"/>
      <c r="H13" s="8"/>
      <c r="I13" s="59"/>
      <c r="J13" s="10"/>
    </row>
    <row r="14" spans="1:12" ht="18.95" customHeight="1">
      <c r="A14" s="8"/>
      <c r="B14" s="20" t="s">
        <v>423</v>
      </c>
      <c r="C14" s="373" t="s">
        <v>182</v>
      </c>
      <c r="D14" s="111">
        <v>2818616</v>
      </c>
      <c r="E14" s="9"/>
      <c r="F14" s="21">
        <v>1960</v>
      </c>
      <c r="G14" s="10"/>
      <c r="H14" s="8"/>
      <c r="I14" s="124">
        <f>SUM(F11:F24)</f>
        <v>104589.75</v>
      </c>
      <c r="J14" s="10"/>
    </row>
    <row r="15" spans="1:12" ht="18.95" customHeight="1">
      <c r="A15" s="8"/>
      <c r="B15" s="20" t="s">
        <v>424</v>
      </c>
      <c r="C15" s="373" t="s">
        <v>182</v>
      </c>
      <c r="D15" s="111">
        <v>2818622</v>
      </c>
      <c r="E15" s="9"/>
      <c r="F15" s="21">
        <v>1500</v>
      </c>
      <c r="G15" s="10"/>
      <c r="H15" s="8"/>
      <c r="I15" s="9"/>
      <c r="J15" s="10"/>
    </row>
    <row r="16" spans="1:12" ht="18.95" customHeight="1">
      <c r="A16" s="8"/>
      <c r="B16" s="20" t="s">
        <v>425</v>
      </c>
      <c r="C16" s="373" t="s">
        <v>182</v>
      </c>
      <c r="D16" s="111">
        <v>2818636</v>
      </c>
      <c r="E16" s="9"/>
      <c r="F16" s="21">
        <v>850</v>
      </c>
      <c r="G16" s="10"/>
      <c r="H16" s="8"/>
      <c r="I16" s="9"/>
      <c r="J16" s="10"/>
    </row>
    <row r="17" spans="1:12" ht="18.95" customHeight="1">
      <c r="A17" s="8"/>
      <c r="B17" s="20" t="s">
        <v>426</v>
      </c>
      <c r="C17" s="373" t="s">
        <v>182</v>
      </c>
      <c r="D17" s="20" t="s">
        <v>427</v>
      </c>
      <c r="E17" s="9"/>
      <c r="F17" s="21">
        <v>9414.9</v>
      </c>
      <c r="G17" s="10"/>
      <c r="H17" s="8"/>
      <c r="J17" s="10"/>
      <c r="L17" s="27">
        <f>I4-I33</f>
        <v>104589.75</v>
      </c>
    </row>
    <row r="18" spans="1:12" ht="18.95" customHeight="1">
      <c r="A18" s="8"/>
      <c r="B18" s="20" t="s">
        <v>426</v>
      </c>
      <c r="C18" s="373" t="s">
        <v>182</v>
      </c>
      <c r="D18" s="20" t="s">
        <v>428</v>
      </c>
      <c r="E18" s="9"/>
      <c r="F18" s="21">
        <v>18035.82</v>
      </c>
      <c r="G18" s="10"/>
      <c r="H18" s="8"/>
      <c r="I18" s="59"/>
      <c r="J18" s="10"/>
      <c r="L18" s="27"/>
    </row>
    <row r="19" spans="1:12" ht="18.95" customHeight="1">
      <c r="A19" s="8"/>
      <c r="B19" s="20" t="s">
        <v>430</v>
      </c>
      <c r="C19" s="373" t="s">
        <v>182</v>
      </c>
      <c r="D19" s="20" t="s">
        <v>429</v>
      </c>
      <c r="E19" s="9"/>
      <c r="F19" s="21">
        <v>7055</v>
      </c>
      <c r="G19" s="10"/>
      <c r="H19" s="8"/>
      <c r="I19" s="59"/>
      <c r="J19" s="10"/>
      <c r="L19" s="27"/>
    </row>
    <row r="20" spans="1:12" ht="18.95" customHeight="1">
      <c r="A20" s="8"/>
      <c r="B20" s="20" t="s">
        <v>431</v>
      </c>
      <c r="C20" s="373" t="s">
        <v>182</v>
      </c>
      <c r="D20" s="20" t="s">
        <v>432</v>
      </c>
      <c r="E20" s="9"/>
      <c r="F20" s="21">
        <v>5724</v>
      </c>
      <c r="G20" s="10"/>
      <c r="H20" s="8"/>
      <c r="I20" s="59"/>
      <c r="J20" s="10"/>
      <c r="L20" s="27">
        <f>SUM(F19:F22)</f>
        <v>28534</v>
      </c>
    </row>
    <row r="21" spans="1:12" ht="18.95" customHeight="1">
      <c r="A21" s="8"/>
      <c r="B21" s="20" t="s">
        <v>431</v>
      </c>
      <c r="C21" s="373" t="s">
        <v>182</v>
      </c>
      <c r="D21" s="20" t="s">
        <v>433</v>
      </c>
      <c r="F21" s="26">
        <v>14000</v>
      </c>
      <c r="G21" s="10"/>
      <c r="H21" s="8"/>
      <c r="I21" s="59"/>
      <c r="J21" s="10"/>
      <c r="L21" s="27"/>
    </row>
    <row r="22" spans="1:12" ht="18.95" customHeight="1">
      <c r="A22" s="8"/>
      <c r="B22" s="20" t="s">
        <v>431</v>
      </c>
      <c r="C22" s="373" t="s">
        <v>182</v>
      </c>
      <c r="D22" s="20" t="s">
        <v>434</v>
      </c>
      <c r="E22" s="9"/>
      <c r="F22" s="112">
        <v>1755</v>
      </c>
      <c r="G22" s="10"/>
      <c r="H22" s="8"/>
      <c r="I22" s="9"/>
      <c r="J22" s="10"/>
    </row>
    <row r="23" spans="1:12" ht="18.95" customHeight="1">
      <c r="A23" s="8"/>
      <c r="B23" s="20" t="s">
        <v>431</v>
      </c>
      <c r="C23" s="373" t="s">
        <v>182</v>
      </c>
      <c r="D23" s="20" t="s">
        <v>435</v>
      </c>
      <c r="E23" s="9"/>
      <c r="F23" s="110">
        <v>21695.33</v>
      </c>
      <c r="G23" s="10"/>
      <c r="H23" s="8"/>
      <c r="J23" s="10"/>
    </row>
    <row r="24" spans="1:12" ht="18.95" customHeight="1">
      <c r="A24" s="8"/>
      <c r="B24" s="20" t="s">
        <v>431</v>
      </c>
      <c r="C24" s="373" t="s">
        <v>182</v>
      </c>
      <c r="D24" s="20" t="s">
        <v>436</v>
      </c>
      <c r="E24" s="9"/>
      <c r="F24" s="110">
        <v>20324.7</v>
      </c>
      <c r="G24" s="10"/>
      <c r="H24" s="8"/>
      <c r="J24" s="10"/>
    </row>
    <row r="25" spans="1:12" ht="18.95" customHeight="1">
      <c r="A25" s="8"/>
      <c r="B25" s="20"/>
      <c r="C25" s="111"/>
      <c r="D25" s="109"/>
      <c r="E25" s="9"/>
      <c r="F25" s="110"/>
      <c r="G25" s="10"/>
      <c r="H25" s="8"/>
      <c r="I25" s="9"/>
      <c r="J25" s="10"/>
    </row>
    <row r="26" spans="1:12" ht="18.95" customHeight="1">
      <c r="A26" s="8"/>
      <c r="B26" s="14" t="s">
        <v>38</v>
      </c>
      <c r="C26" s="111"/>
      <c r="D26" s="109"/>
      <c r="E26" s="9"/>
      <c r="F26" s="110"/>
      <c r="G26" s="10"/>
      <c r="H26" s="8"/>
      <c r="I26" s="9"/>
      <c r="J26" s="10"/>
    </row>
    <row r="27" spans="1:12" ht="18.95" customHeight="1">
      <c r="A27" s="8"/>
      <c r="B27" s="14" t="s">
        <v>39</v>
      </c>
      <c r="C27" s="111"/>
      <c r="D27" s="109"/>
      <c r="E27" s="9"/>
      <c r="F27" s="110"/>
      <c r="G27" s="10"/>
      <c r="H27" s="8"/>
      <c r="I27" s="9"/>
      <c r="J27" s="10"/>
    </row>
    <row r="28" spans="1:12" ht="18.95" customHeight="1">
      <c r="A28" s="8"/>
      <c r="B28" s="123" t="s">
        <v>36</v>
      </c>
      <c r="C28" s="111"/>
      <c r="D28" s="109"/>
      <c r="E28" s="9"/>
      <c r="F28" s="110"/>
      <c r="G28" s="22">
        <f>SUM(F13)</f>
        <v>765</v>
      </c>
      <c r="H28" s="8"/>
      <c r="I28" s="23"/>
      <c r="J28" s="10"/>
      <c r="K28" s="24"/>
    </row>
    <row r="29" spans="1:12">
      <c r="A29" s="8"/>
      <c r="B29" s="372" t="s">
        <v>413</v>
      </c>
      <c r="C29" s="371"/>
      <c r="D29" s="109"/>
      <c r="E29" s="9"/>
      <c r="F29" s="110"/>
      <c r="G29" s="10"/>
      <c r="H29" s="8"/>
      <c r="I29" s="9"/>
      <c r="J29" s="10"/>
    </row>
    <row r="30" spans="1:12">
      <c r="A30" s="8"/>
      <c r="B30" s="20"/>
      <c r="C30" s="111"/>
      <c r="D30" s="109"/>
      <c r="E30" s="9"/>
      <c r="F30" s="110"/>
      <c r="G30" s="10"/>
      <c r="H30" s="8"/>
      <c r="I30" s="9"/>
      <c r="J30" s="10"/>
    </row>
    <row r="31" spans="1:12" ht="21" customHeight="1">
      <c r="A31" s="8"/>
      <c r="B31" s="20"/>
      <c r="C31" s="111"/>
      <c r="D31" s="109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1"/>
      <c r="D32" s="15"/>
      <c r="E32" s="16"/>
      <c r="F32" s="98"/>
      <c r="G32" s="10"/>
      <c r="H32" s="8"/>
      <c r="J32" s="10"/>
    </row>
    <row r="33" spans="1:12" ht="21.75" customHeight="1">
      <c r="A33" s="28"/>
      <c r="B33" s="29" t="s">
        <v>404</v>
      </c>
      <c r="C33" s="29"/>
      <c r="D33" s="29"/>
      <c r="E33" s="500" t="str">
        <f>E4</f>
        <v xml:space="preserve"> 31 พฤษภาคม 2556</v>
      </c>
      <c r="F33" s="500"/>
      <c r="G33" s="31"/>
      <c r="H33" s="28"/>
      <c r="I33" s="12">
        <f>I4-I14-F29</f>
        <v>21497806.719999999</v>
      </c>
      <c r="J33" s="30"/>
      <c r="L33" s="24"/>
    </row>
    <row r="34" spans="1:12" ht="32.25" customHeight="1">
      <c r="A34" s="3"/>
      <c r="B34" s="5" t="s">
        <v>41</v>
      </c>
      <c r="C34" s="5"/>
      <c r="D34" s="5"/>
      <c r="E34" s="7"/>
      <c r="F34" s="3" t="s">
        <v>42</v>
      </c>
      <c r="G34" s="5"/>
      <c r="H34" s="5"/>
      <c r="I34" s="5"/>
      <c r="J34" s="7"/>
    </row>
    <row r="35" spans="1:12">
      <c r="A35" s="8"/>
      <c r="B35" s="485" t="s">
        <v>188</v>
      </c>
      <c r="C35" s="485"/>
      <c r="D35" s="485"/>
      <c r="E35" s="10"/>
      <c r="F35" s="486" t="s">
        <v>190</v>
      </c>
      <c r="G35" s="485"/>
      <c r="H35" s="485"/>
      <c r="I35" s="485"/>
      <c r="J35" s="10"/>
    </row>
    <row r="36" spans="1:12">
      <c r="A36" s="8"/>
      <c r="B36" s="485" t="s">
        <v>189</v>
      </c>
      <c r="C36" s="485"/>
      <c r="D36" s="485"/>
      <c r="E36" s="10"/>
      <c r="F36" s="486" t="s">
        <v>59</v>
      </c>
      <c r="G36" s="485"/>
      <c r="H36" s="485"/>
      <c r="I36" s="485"/>
      <c r="J36" s="10"/>
      <c r="L36" s="24"/>
    </row>
    <row r="37" spans="1:12">
      <c r="A37" s="28"/>
      <c r="B37" s="494" t="s">
        <v>192</v>
      </c>
      <c r="C37" s="494"/>
      <c r="D37" s="494"/>
      <c r="E37" s="31"/>
      <c r="F37" s="493" t="s">
        <v>191</v>
      </c>
      <c r="G37" s="494"/>
      <c r="H37" s="494"/>
      <c r="I37" s="494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87" t="s">
        <v>23</v>
      </c>
      <c r="B58" s="488"/>
      <c r="C58" s="488"/>
      <c r="D58" s="488"/>
      <c r="E58" s="488"/>
      <c r="F58" s="488"/>
      <c r="G58" s="489"/>
      <c r="H58" s="487" t="s">
        <v>24</v>
      </c>
      <c r="I58" s="488"/>
      <c r="J58" s="489"/>
      <c r="K58" s="1"/>
    </row>
    <row r="59" spans="1:11" ht="21.75" customHeight="1">
      <c r="A59" s="490" t="s">
        <v>25</v>
      </c>
      <c r="B59" s="491"/>
      <c r="C59" s="491"/>
      <c r="D59" s="491"/>
      <c r="E59" s="491"/>
      <c r="F59" s="491"/>
      <c r="G59" s="492"/>
      <c r="H59" s="493" t="s">
        <v>89</v>
      </c>
      <c r="I59" s="494"/>
      <c r="J59" s="495"/>
    </row>
    <row r="60" spans="1:11" ht="14.25" customHeight="1">
      <c r="A60" s="3"/>
      <c r="B60" s="4"/>
      <c r="C60" s="5"/>
      <c r="D60" s="6"/>
      <c r="E60" s="5"/>
      <c r="F60" s="5"/>
      <c r="G60" s="7"/>
      <c r="H60" s="496" t="s">
        <v>27</v>
      </c>
      <c r="I60" s="497"/>
      <c r="J60" s="498"/>
    </row>
    <row r="61" spans="1:11" ht="18.75" customHeight="1">
      <c r="A61" s="8"/>
      <c r="B61" s="9" t="s">
        <v>87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28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29</v>
      </c>
      <c r="C63" s="16"/>
      <c r="D63" s="15" t="s">
        <v>30</v>
      </c>
      <c r="E63" s="16"/>
      <c r="F63" s="17" t="s">
        <v>31</v>
      </c>
      <c r="G63" s="10"/>
      <c r="H63" s="8"/>
      <c r="I63" s="9"/>
      <c r="J63" s="10"/>
    </row>
    <row r="64" spans="1:11" ht="16.5" customHeight="1">
      <c r="A64" s="8"/>
      <c r="B64" s="18" t="s">
        <v>32</v>
      </c>
      <c r="C64" s="9"/>
      <c r="D64" s="18" t="s">
        <v>32</v>
      </c>
      <c r="E64" s="9"/>
      <c r="F64" s="18" t="s">
        <v>33</v>
      </c>
      <c r="G64" s="10"/>
      <c r="H64" s="8"/>
      <c r="I64" s="9" t="s">
        <v>34</v>
      </c>
      <c r="J64" s="10"/>
    </row>
    <row r="65" spans="1:11" ht="16.5" customHeight="1">
      <c r="A65" s="8"/>
      <c r="B65" s="18" t="s">
        <v>32</v>
      </c>
      <c r="C65" s="9"/>
      <c r="D65" s="18" t="s">
        <v>32</v>
      </c>
      <c r="E65" s="9"/>
      <c r="F65" s="18" t="s">
        <v>33</v>
      </c>
      <c r="G65" s="10"/>
      <c r="H65" s="8"/>
      <c r="I65" s="9" t="s">
        <v>34</v>
      </c>
      <c r="J65" s="10"/>
    </row>
    <row r="66" spans="1:11">
      <c r="A66" s="8"/>
      <c r="B66" s="14" t="s">
        <v>35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1" t="s">
        <v>36</v>
      </c>
      <c r="C67" s="9"/>
      <c r="D67" s="111" t="s">
        <v>37</v>
      </c>
      <c r="E67" s="9"/>
      <c r="F67" s="19" t="s">
        <v>31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38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39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40</v>
      </c>
      <c r="C89" s="9"/>
      <c r="D89" s="18" t="s">
        <v>32</v>
      </c>
      <c r="E89" s="9"/>
      <c r="F89" s="18" t="s">
        <v>33</v>
      </c>
      <c r="G89" s="10"/>
      <c r="H89" s="8"/>
      <c r="I89" s="9" t="s">
        <v>34</v>
      </c>
      <c r="J89" s="10"/>
    </row>
    <row r="90" spans="1:12" ht="16.5" customHeight="1">
      <c r="A90" s="8"/>
      <c r="B90" s="18" t="s">
        <v>32</v>
      </c>
      <c r="C90" s="9"/>
      <c r="D90" s="18" t="s">
        <v>32</v>
      </c>
      <c r="E90" s="9"/>
      <c r="F90" s="18" t="s">
        <v>33</v>
      </c>
      <c r="G90" s="10"/>
      <c r="H90" s="8"/>
      <c r="I90" s="9" t="s">
        <v>34</v>
      </c>
      <c r="J90" s="10"/>
    </row>
    <row r="91" spans="1:12" ht="21.75" customHeight="1">
      <c r="A91" s="28"/>
      <c r="B91" s="29" t="s">
        <v>88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41</v>
      </c>
      <c r="C92" s="9"/>
      <c r="D92" s="9"/>
      <c r="E92" s="9"/>
      <c r="F92" s="3" t="s">
        <v>42</v>
      </c>
      <c r="G92" s="5"/>
      <c r="H92" s="5"/>
      <c r="I92" s="5"/>
      <c r="J92" s="7"/>
    </row>
    <row r="93" spans="1:12">
      <c r="A93" s="8"/>
      <c r="B93" s="9" t="s">
        <v>43</v>
      </c>
      <c r="C93" s="9"/>
      <c r="D93" s="9" t="s">
        <v>44</v>
      </c>
      <c r="E93" s="9"/>
      <c r="F93" s="8" t="s">
        <v>84</v>
      </c>
      <c r="G93" s="9"/>
      <c r="I93" s="9" t="s">
        <v>85</v>
      </c>
      <c r="J93" s="10"/>
    </row>
    <row r="94" spans="1:12" ht="27" customHeight="1">
      <c r="A94" s="28"/>
      <c r="B94" s="29" t="s">
        <v>45</v>
      </c>
      <c r="C94" s="29"/>
      <c r="D94" s="29"/>
      <c r="E94" s="29"/>
      <c r="F94" s="28" t="s">
        <v>46</v>
      </c>
      <c r="G94" s="29"/>
      <c r="H94" s="29"/>
      <c r="I94" s="29"/>
      <c r="J94" s="31"/>
    </row>
    <row r="95" spans="1:12" ht="21.75" customHeight="1">
      <c r="A95" s="487" t="s">
        <v>23</v>
      </c>
      <c r="B95" s="488"/>
      <c r="C95" s="488"/>
      <c r="D95" s="488"/>
      <c r="E95" s="488"/>
      <c r="F95" s="488"/>
      <c r="G95" s="489"/>
      <c r="H95" s="487" t="s">
        <v>24</v>
      </c>
      <c r="I95" s="488"/>
      <c r="J95" s="489"/>
      <c r="K95" s="1"/>
    </row>
    <row r="96" spans="1:12" ht="21.75" customHeight="1">
      <c r="A96" s="490" t="s">
        <v>25</v>
      </c>
      <c r="B96" s="491"/>
      <c r="C96" s="491"/>
      <c r="D96" s="491"/>
      <c r="E96" s="491"/>
      <c r="F96" s="491"/>
      <c r="G96" s="492"/>
      <c r="H96" s="493" t="s">
        <v>26</v>
      </c>
      <c r="I96" s="494"/>
      <c r="J96" s="495"/>
    </row>
    <row r="97" spans="1:11" ht="14.25" customHeight="1">
      <c r="A97" s="3"/>
      <c r="B97" s="4"/>
      <c r="C97" s="5"/>
      <c r="D97" s="6"/>
      <c r="E97" s="5"/>
      <c r="F97" s="5"/>
      <c r="G97" s="7"/>
      <c r="H97" s="496" t="s">
        <v>27</v>
      </c>
      <c r="I97" s="497"/>
      <c r="J97" s="498"/>
    </row>
    <row r="98" spans="1:11" ht="18.75" customHeight="1">
      <c r="A98" s="8"/>
      <c r="B98" s="9" t="s">
        <v>91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28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29</v>
      </c>
      <c r="C100" s="16"/>
      <c r="D100" s="15" t="s">
        <v>30</v>
      </c>
      <c r="E100" s="16"/>
      <c r="F100" s="17" t="s">
        <v>31</v>
      </c>
      <c r="G100" s="10"/>
      <c r="H100" s="8"/>
      <c r="I100" s="9"/>
      <c r="J100" s="10"/>
    </row>
    <row r="101" spans="1:11" ht="16.5" customHeight="1">
      <c r="A101" s="8"/>
      <c r="B101" s="18" t="s">
        <v>32</v>
      </c>
      <c r="C101" s="9"/>
      <c r="D101" s="18" t="s">
        <v>32</v>
      </c>
      <c r="E101" s="9"/>
      <c r="F101" s="18" t="s">
        <v>33</v>
      </c>
      <c r="G101" s="10"/>
      <c r="H101" s="8"/>
      <c r="I101" s="9" t="s">
        <v>34</v>
      </c>
      <c r="J101" s="10"/>
    </row>
    <row r="102" spans="1:11" ht="16.5" customHeight="1">
      <c r="A102" s="8"/>
      <c r="B102" s="18" t="s">
        <v>32</v>
      </c>
      <c r="C102" s="9"/>
      <c r="D102" s="18" t="s">
        <v>32</v>
      </c>
      <c r="E102" s="9"/>
      <c r="F102" s="18" t="s">
        <v>33</v>
      </c>
      <c r="G102" s="10"/>
      <c r="H102" s="8"/>
      <c r="I102" s="9" t="s">
        <v>34</v>
      </c>
      <c r="J102" s="10"/>
    </row>
    <row r="103" spans="1:11">
      <c r="A103" s="8"/>
      <c r="B103" s="14" t="s">
        <v>35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1" t="s">
        <v>36</v>
      </c>
      <c r="C104" s="9"/>
      <c r="D104" s="111" t="s">
        <v>37</v>
      </c>
      <c r="E104" s="9"/>
      <c r="F104" s="19" t="s">
        <v>31</v>
      </c>
      <c r="G104" s="10"/>
      <c r="H104" s="8"/>
      <c r="I104" s="9"/>
      <c r="J104" s="10"/>
    </row>
    <row r="105" spans="1:11" ht="18.95" customHeight="1">
      <c r="A105" s="8"/>
      <c r="B105" s="20" t="s">
        <v>86</v>
      </c>
      <c r="C105" s="9"/>
      <c r="D105" s="111" t="s">
        <v>90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92</v>
      </c>
      <c r="C106" s="9"/>
      <c r="D106" s="111" t="s">
        <v>96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92</v>
      </c>
      <c r="C107" s="9"/>
      <c r="D107" s="111" t="s">
        <v>97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92</v>
      </c>
      <c r="C108" s="9"/>
      <c r="D108" s="111" t="s">
        <v>97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92</v>
      </c>
      <c r="D109" s="111" t="s">
        <v>97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93</v>
      </c>
      <c r="C110" s="9"/>
      <c r="D110" s="111" t="s">
        <v>98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93</v>
      </c>
      <c r="C111" s="9"/>
      <c r="D111" s="111" t="s">
        <v>99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93</v>
      </c>
      <c r="C112" s="9"/>
      <c r="D112" s="111" t="s">
        <v>100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93</v>
      </c>
      <c r="C113" s="9"/>
      <c r="D113" s="111" t="s">
        <v>101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94</v>
      </c>
      <c r="C114" s="9"/>
      <c r="D114" s="111" t="s">
        <v>102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94</v>
      </c>
      <c r="C115" s="9"/>
      <c r="D115" s="111" t="s">
        <v>104</v>
      </c>
      <c r="E115" s="9"/>
      <c r="F115" s="21">
        <v>4284.33</v>
      </c>
      <c r="G115" s="22"/>
      <c r="H115" s="9"/>
      <c r="I115" s="59"/>
      <c r="J115" s="10"/>
      <c r="K115" s="24"/>
    </row>
    <row r="116" spans="1:12" ht="18.95" customHeight="1">
      <c r="A116" s="8"/>
      <c r="B116" s="20" t="s">
        <v>94</v>
      </c>
      <c r="C116" s="9"/>
      <c r="D116" s="111" t="s">
        <v>104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94</v>
      </c>
      <c r="C117" s="9"/>
      <c r="D117" s="111" t="s">
        <v>105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94</v>
      </c>
      <c r="C118" s="9"/>
      <c r="D118" s="111" t="s">
        <v>106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94</v>
      </c>
      <c r="C119" s="9"/>
      <c r="D119" s="111" t="s">
        <v>107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94</v>
      </c>
      <c r="C120" s="9"/>
      <c r="D120" s="111" t="s">
        <v>108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94</v>
      </c>
      <c r="C121" s="9"/>
      <c r="D121" s="111" t="s">
        <v>109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94</v>
      </c>
      <c r="C122" s="9"/>
      <c r="D122" s="111" t="s">
        <v>110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95</v>
      </c>
      <c r="C123" s="9"/>
      <c r="D123" s="111" t="s">
        <v>111</v>
      </c>
      <c r="E123" s="9"/>
      <c r="F123" s="25">
        <v>177772.9</v>
      </c>
      <c r="G123" s="10"/>
      <c r="H123" s="9"/>
      <c r="I123" s="58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38</v>
      </c>
      <c r="C124" s="9"/>
      <c r="D124" s="9"/>
      <c r="E124" s="9"/>
      <c r="F124" s="58"/>
      <c r="G124" s="10"/>
      <c r="H124" s="8"/>
      <c r="I124" s="9"/>
      <c r="J124" s="10"/>
    </row>
    <row r="125" spans="1:12" ht="17.25" customHeight="1">
      <c r="A125" s="8"/>
      <c r="B125" s="14" t="s">
        <v>39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1" t="s">
        <v>36</v>
      </c>
      <c r="C127" s="9"/>
      <c r="D127" s="111" t="s">
        <v>37</v>
      </c>
      <c r="E127" s="9"/>
      <c r="F127" s="19" t="s">
        <v>31</v>
      </c>
      <c r="G127" s="10"/>
      <c r="H127" s="8"/>
      <c r="I127" s="9"/>
      <c r="J127" s="10"/>
    </row>
    <row r="128" spans="1:12" ht="16.5" customHeight="1">
      <c r="A128" s="8"/>
      <c r="B128" s="20" t="s">
        <v>93</v>
      </c>
      <c r="C128" s="9"/>
      <c r="D128" s="111" t="s">
        <v>103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112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41</v>
      </c>
      <c r="C130" s="5"/>
      <c r="D130" s="5"/>
      <c r="E130" s="5"/>
      <c r="F130" s="3" t="s">
        <v>42</v>
      </c>
      <c r="G130" s="5"/>
      <c r="H130" s="5"/>
      <c r="I130" s="5"/>
      <c r="J130" s="7"/>
    </row>
    <row r="131" spans="1:11">
      <c r="A131" s="8"/>
      <c r="B131" s="9" t="s">
        <v>43</v>
      </c>
      <c r="C131" s="9"/>
      <c r="D131" s="9" t="s">
        <v>44</v>
      </c>
      <c r="E131" s="10"/>
      <c r="F131" s="8" t="s">
        <v>84</v>
      </c>
      <c r="G131" s="9"/>
      <c r="H131" s="9"/>
      <c r="I131" s="9" t="s">
        <v>85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87" t="s">
        <v>23</v>
      </c>
      <c r="B133" s="488"/>
      <c r="C133" s="488"/>
      <c r="D133" s="488"/>
      <c r="E133" s="488"/>
      <c r="F133" s="488"/>
      <c r="G133" s="489"/>
      <c r="H133" s="487" t="s">
        <v>24</v>
      </c>
      <c r="I133" s="488"/>
      <c r="J133" s="489"/>
      <c r="K133" s="1"/>
    </row>
    <row r="134" spans="1:11" ht="21.75" customHeight="1">
      <c r="A134" s="490" t="s">
        <v>25</v>
      </c>
      <c r="B134" s="491"/>
      <c r="C134" s="491"/>
      <c r="D134" s="491"/>
      <c r="E134" s="491"/>
      <c r="F134" s="491"/>
      <c r="G134" s="492"/>
      <c r="H134" s="493" t="s">
        <v>89</v>
      </c>
      <c r="I134" s="494"/>
      <c r="J134" s="495"/>
    </row>
    <row r="135" spans="1:11" ht="14.25" customHeight="1">
      <c r="A135" s="3"/>
      <c r="B135" s="4"/>
      <c r="C135" s="5"/>
      <c r="D135" s="6"/>
      <c r="E135" s="5"/>
      <c r="F135" s="5"/>
      <c r="G135" s="7"/>
      <c r="H135" s="496" t="s">
        <v>27</v>
      </c>
      <c r="I135" s="497"/>
      <c r="J135" s="498"/>
    </row>
    <row r="136" spans="1:11" ht="18.75" customHeight="1">
      <c r="A136" s="8"/>
      <c r="B136" s="9" t="s">
        <v>87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28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29</v>
      </c>
      <c r="C138" s="16"/>
      <c r="D138" s="15" t="s">
        <v>30</v>
      </c>
      <c r="E138" s="16"/>
      <c r="F138" s="17" t="s">
        <v>31</v>
      </c>
      <c r="G138" s="10"/>
      <c r="H138" s="8"/>
      <c r="I138" s="9"/>
      <c r="J138" s="10"/>
    </row>
    <row r="139" spans="1:11" ht="16.5" customHeight="1">
      <c r="A139" s="8"/>
      <c r="B139" s="18" t="s">
        <v>32</v>
      </c>
      <c r="C139" s="9"/>
      <c r="D139" s="18" t="s">
        <v>32</v>
      </c>
      <c r="E139" s="9"/>
      <c r="F139" s="18" t="s">
        <v>33</v>
      </c>
      <c r="G139" s="10"/>
      <c r="H139" s="8"/>
      <c r="I139" s="9" t="s">
        <v>34</v>
      </c>
      <c r="J139" s="10"/>
    </row>
    <row r="140" spans="1:11" ht="16.5" customHeight="1">
      <c r="A140" s="8"/>
      <c r="B140" s="18" t="s">
        <v>32</v>
      </c>
      <c r="C140" s="9"/>
      <c r="D140" s="18" t="s">
        <v>32</v>
      </c>
      <c r="E140" s="9"/>
      <c r="F140" s="18" t="s">
        <v>33</v>
      </c>
      <c r="G140" s="10"/>
      <c r="H140" s="8"/>
      <c r="I140" s="9" t="s">
        <v>34</v>
      </c>
      <c r="J140" s="10"/>
    </row>
    <row r="141" spans="1:11">
      <c r="A141" s="8"/>
      <c r="B141" s="14" t="s">
        <v>35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1" t="s">
        <v>36</v>
      </c>
      <c r="C142" s="9"/>
      <c r="D142" s="111" t="s">
        <v>37</v>
      </c>
      <c r="E142" s="9"/>
      <c r="F142" s="19" t="s">
        <v>31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38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39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40</v>
      </c>
      <c r="C164" s="9"/>
      <c r="D164" s="18" t="s">
        <v>32</v>
      </c>
      <c r="E164" s="9"/>
      <c r="F164" s="18" t="s">
        <v>33</v>
      </c>
      <c r="G164" s="10"/>
      <c r="H164" s="8"/>
      <c r="I164" s="9" t="s">
        <v>34</v>
      </c>
      <c r="J164" s="10"/>
    </row>
    <row r="165" spans="1:12" ht="16.5" customHeight="1">
      <c r="A165" s="8"/>
      <c r="B165" s="18" t="s">
        <v>32</v>
      </c>
      <c r="C165" s="9"/>
      <c r="D165" s="18" t="s">
        <v>32</v>
      </c>
      <c r="E165" s="9"/>
      <c r="F165" s="18" t="s">
        <v>33</v>
      </c>
      <c r="G165" s="10"/>
      <c r="H165" s="8"/>
      <c r="I165" s="9" t="s">
        <v>34</v>
      </c>
      <c r="J165" s="10"/>
    </row>
    <row r="166" spans="1:12" ht="21.75" customHeight="1">
      <c r="A166" s="28"/>
      <c r="B166" s="29" t="s">
        <v>88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41</v>
      </c>
      <c r="C167" s="9"/>
      <c r="D167" s="9"/>
      <c r="E167" s="9"/>
      <c r="F167" s="3" t="s">
        <v>42</v>
      </c>
      <c r="G167" s="5"/>
      <c r="H167" s="5"/>
      <c r="I167" s="5"/>
      <c r="J167" s="7"/>
    </row>
    <row r="168" spans="1:12">
      <c r="A168" s="8"/>
      <c r="B168" s="9" t="s">
        <v>43</v>
      </c>
      <c r="C168" s="9"/>
      <c r="D168" s="9" t="s">
        <v>44</v>
      </c>
      <c r="E168" s="9"/>
      <c r="F168" s="8" t="s">
        <v>84</v>
      </c>
      <c r="G168" s="9"/>
      <c r="I168" s="9" t="s">
        <v>85</v>
      </c>
      <c r="J168" s="10"/>
    </row>
    <row r="169" spans="1:12" ht="27" customHeight="1">
      <c r="A169" s="28"/>
      <c r="B169" s="29" t="s">
        <v>45</v>
      </c>
      <c r="C169" s="29"/>
      <c r="D169" s="29"/>
      <c r="E169" s="29"/>
      <c r="F169" s="28" t="s">
        <v>46</v>
      </c>
      <c r="G169" s="29"/>
      <c r="H169" s="29"/>
      <c r="I169" s="29"/>
      <c r="J169" s="31"/>
    </row>
  </sheetData>
  <mergeCells count="28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4"/>
  <sheetViews>
    <sheetView tabSelected="1" view="pageBreakPreview" zoomScale="80" zoomScaleSheetLayoutView="80" workbookViewId="0">
      <pane xSplit="1" ySplit="5" topLeftCell="B108" activePane="bottomRight" state="frozen"/>
      <selection pane="topRight" activeCell="B1" sqref="B1"/>
      <selection pane="bottomLeft" activeCell="A6" sqref="A6"/>
      <selection pane="bottomRight" activeCell="I114" sqref="I114"/>
    </sheetView>
  </sheetViews>
  <sheetFormatPr defaultRowHeight="20.25" customHeight="1"/>
  <cols>
    <col min="1" max="1" width="11.42578125" style="159" customWidth="1"/>
    <col min="2" max="2" width="12" style="127" bestFit="1" customWidth="1"/>
    <col min="3" max="3" width="10.5703125" style="127" bestFit="1" customWidth="1"/>
    <col min="4" max="4" width="10.7109375" style="127" customWidth="1"/>
    <col min="5" max="5" width="8" style="127" bestFit="1" customWidth="1"/>
    <col min="6" max="7" width="10.5703125" style="127" bestFit="1" customWidth="1"/>
    <col min="8" max="8" width="6.85546875" style="127" bestFit="1" customWidth="1"/>
    <col min="9" max="9" width="9.28515625" style="127" bestFit="1" customWidth="1"/>
    <col min="10" max="11" width="6.85546875" style="127" bestFit="1" customWidth="1"/>
    <col min="12" max="12" width="6.7109375" style="127" bestFit="1" customWidth="1"/>
    <col min="13" max="13" width="12" style="127" bestFit="1" customWidth="1"/>
    <col min="14" max="15" width="6.7109375" style="127" bestFit="1" customWidth="1"/>
    <col min="16" max="16" width="8.85546875" style="127" bestFit="1" customWidth="1"/>
    <col min="17" max="17" width="6.7109375" style="127" bestFit="1" customWidth="1"/>
    <col min="18" max="18" width="9.5703125" style="127" bestFit="1" customWidth="1"/>
    <col min="19" max="19" width="9.28515625" style="127" bestFit="1" customWidth="1"/>
    <col min="20" max="20" width="9.5703125" style="127" bestFit="1" customWidth="1"/>
    <col min="21" max="21" width="7.28515625" style="127" bestFit="1" customWidth="1"/>
    <col min="22" max="22" width="6.7109375" style="127" bestFit="1" customWidth="1"/>
    <col min="23" max="23" width="6.7109375" style="127" customWidth="1"/>
    <col min="24" max="25" width="10.5703125" style="127" bestFit="1" customWidth="1"/>
    <col min="26" max="26" width="12" style="127" bestFit="1" customWidth="1"/>
    <col min="27" max="16384" width="9.140625" style="127"/>
  </cols>
  <sheetData>
    <row r="1" spans="1:26" ht="20.25" customHeight="1">
      <c r="A1" s="501" t="s">
        <v>210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1"/>
    </row>
    <row r="2" spans="1:26" ht="20.25" customHeight="1">
      <c r="A2" s="501" t="s">
        <v>211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</row>
    <row r="3" spans="1:26" ht="20.25" customHeight="1" thickBot="1">
      <c r="A3" s="502" t="s">
        <v>416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</row>
    <row r="4" spans="1:26" ht="20.25" customHeight="1">
      <c r="A4" s="356" t="s">
        <v>212</v>
      </c>
      <c r="B4" s="503" t="s">
        <v>213</v>
      </c>
      <c r="C4" s="503"/>
      <c r="D4" s="503" t="s">
        <v>214</v>
      </c>
      <c r="E4" s="503"/>
      <c r="F4" s="503" t="s">
        <v>215</v>
      </c>
      <c r="G4" s="503"/>
      <c r="H4" s="503"/>
      <c r="I4" s="503" t="s">
        <v>216</v>
      </c>
      <c r="J4" s="503"/>
      <c r="K4" s="503" t="s">
        <v>217</v>
      </c>
      <c r="L4" s="503"/>
      <c r="M4" s="504" t="s">
        <v>218</v>
      </c>
      <c r="N4" s="505"/>
      <c r="O4" s="506"/>
      <c r="P4" s="503" t="s">
        <v>219</v>
      </c>
      <c r="Q4" s="503"/>
      <c r="R4" s="503" t="s">
        <v>220</v>
      </c>
      <c r="S4" s="503"/>
      <c r="T4" s="503"/>
      <c r="U4" s="129" t="s">
        <v>221</v>
      </c>
      <c r="V4" s="503" t="s">
        <v>222</v>
      </c>
      <c r="W4" s="503"/>
      <c r="X4" s="129" t="s">
        <v>223</v>
      </c>
      <c r="Y4" s="129" t="s">
        <v>224</v>
      </c>
      <c r="Z4" s="507" t="s">
        <v>55</v>
      </c>
    </row>
    <row r="5" spans="1:26" ht="20.25" customHeight="1" thickBot="1">
      <c r="A5" s="357" t="s">
        <v>225</v>
      </c>
      <c r="B5" s="131" t="s">
        <v>226</v>
      </c>
      <c r="C5" s="131" t="s">
        <v>227</v>
      </c>
      <c r="D5" s="131" t="s">
        <v>228</v>
      </c>
      <c r="E5" s="131" t="s">
        <v>229</v>
      </c>
      <c r="F5" s="131" t="s">
        <v>230</v>
      </c>
      <c r="G5" s="131" t="s">
        <v>231</v>
      </c>
      <c r="H5" s="131" t="s">
        <v>232</v>
      </c>
      <c r="I5" s="131" t="s">
        <v>233</v>
      </c>
      <c r="J5" s="131" t="s">
        <v>234</v>
      </c>
      <c r="K5" s="131" t="s">
        <v>235</v>
      </c>
      <c r="L5" s="131" t="s">
        <v>236</v>
      </c>
      <c r="M5" s="132" t="s">
        <v>237</v>
      </c>
      <c r="N5" s="131" t="s">
        <v>238</v>
      </c>
      <c r="O5" s="131" t="s">
        <v>239</v>
      </c>
      <c r="P5" s="131" t="s">
        <v>240</v>
      </c>
      <c r="Q5" s="131" t="s">
        <v>241</v>
      </c>
      <c r="R5" s="131" t="s">
        <v>242</v>
      </c>
      <c r="S5" s="131" t="s">
        <v>243</v>
      </c>
      <c r="T5" s="131" t="s">
        <v>244</v>
      </c>
      <c r="U5" s="131" t="s">
        <v>245</v>
      </c>
      <c r="V5" s="131" t="s">
        <v>246</v>
      </c>
      <c r="W5" s="131" t="s">
        <v>247</v>
      </c>
      <c r="X5" s="131" t="s">
        <v>248</v>
      </c>
      <c r="Y5" s="131" t="s">
        <v>249</v>
      </c>
      <c r="Z5" s="508"/>
    </row>
    <row r="6" spans="1:26" ht="20.25" customHeight="1">
      <c r="A6" s="358" t="s">
        <v>56</v>
      </c>
      <c r="B6" s="133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4">
        <v>334296</v>
      </c>
      <c r="Z6" s="135">
        <f>SUM(B6:Y6)</f>
        <v>334296</v>
      </c>
    </row>
    <row r="7" spans="1:26" ht="20.25" customHeight="1">
      <c r="A7" s="359">
        <v>510000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5">
        <f>SUM(B7:Y7)</f>
        <v>0</v>
      </c>
    </row>
    <row r="8" spans="1:26" ht="20.25" customHeight="1">
      <c r="A8" s="343" t="s">
        <v>308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8">
        <v>9768</v>
      </c>
      <c r="Z8" s="135">
        <f>SUM(B8:Y8)</f>
        <v>9768</v>
      </c>
    </row>
    <row r="9" spans="1:26" ht="20.25" customHeight="1">
      <c r="A9" s="343" t="s">
        <v>309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8">
        <v>0</v>
      </c>
      <c r="Z9" s="135"/>
    </row>
    <row r="10" spans="1:26" ht="20.25" customHeight="1">
      <c r="A10" s="343" t="s">
        <v>310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8"/>
      <c r="Z10" s="135">
        <f t="shared" ref="Z10:Z17" si="0">SUM(B10:Y10)</f>
        <v>0</v>
      </c>
    </row>
    <row r="11" spans="1:26" ht="20.25" customHeight="1">
      <c r="A11" s="343" t="s">
        <v>311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8">
        <v>5000</v>
      </c>
      <c r="Z11" s="135">
        <f t="shared" si="0"/>
        <v>5000</v>
      </c>
    </row>
    <row r="12" spans="1:26" ht="20.25" customHeight="1">
      <c r="A12" s="343" t="s">
        <v>393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8">
        <f>1755+21900</f>
        <v>23655</v>
      </c>
      <c r="Z12" s="135">
        <f t="shared" si="0"/>
        <v>23655</v>
      </c>
    </row>
    <row r="13" spans="1:26" ht="20.25" customHeight="1">
      <c r="A13" s="343" t="s">
        <v>312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8">
        <v>60000</v>
      </c>
      <c r="Z13" s="135">
        <f t="shared" si="0"/>
        <v>60000</v>
      </c>
    </row>
    <row r="14" spans="1:26" ht="20.25" customHeight="1">
      <c r="A14" s="343" t="s">
        <v>313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8">
        <v>0</v>
      </c>
      <c r="Z14" s="135">
        <f t="shared" si="0"/>
        <v>0</v>
      </c>
    </row>
    <row r="15" spans="1:26" ht="20.25" customHeight="1">
      <c r="A15" s="351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8">
        <v>0</v>
      </c>
      <c r="Z15" s="135">
        <f t="shared" si="0"/>
        <v>0</v>
      </c>
    </row>
    <row r="16" spans="1:26" ht="20.25" customHeight="1" thickBot="1">
      <c r="A16" s="351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9">
        <v>0</v>
      </c>
      <c r="Z16" s="135">
        <f t="shared" si="0"/>
        <v>0</v>
      </c>
    </row>
    <row r="17" spans="1:27" ht="20.25" customHeight="1">
      <c r="A17" s="356" t="s">
        <v>250</v>
      </c>
      <c r="B17" s="140">
        <f t="shared" ref="B17:X17" si="1">SUM(B7:B16)</f>
        <v>0</v>
      </c>
      <c r="C17" s="140">
        <f t="shared" si="1"/>
        <v>0</v>
      </c>
      <c r="D17" s="140">
        <f t="shared" si="1"/>
        <v>0</v>
      </c>
      <c r="E17" s="140">
        <f t="shared" si="1"/>
        <v>0</v>
      </c>
      <c r="F17" s="140">
        <f t="shared" si="1"/>
        <v>0</v>
      </c>
      <c r="G17" s="140">
        <f t="shared" si="1"/>
        <v>0</v>
      </c>
      <c r="H17" s="140">
        <f t="shared" si="1"/>
        <v>0</v>
      </c>
      <c r="I17" s="140">
        <f t="shared" si="1"/>
        <v>0</v>
      </c>
      <c r="J17" s="140">
        <f t="shared" si="1"/>
        <v>0</v>
      </c>
      <c r="K17" s="140">
        <f t="shared" si="1"/>
        <v>0</v>
      </c>
      <c r="L17" s="140">
        <f t="shared" si="1"/>
        <v>0</v>
      </c>
      <c r="M17" s="140">
        <f t="shared" si="1"/>
        <v>0</v>
      </c>
      <c r="N17" s="140">
        <f t="shared" si="1"/>
        <v>0</v>
      </c>
      <c r="O17" s="140">
        <f t="shared" si="1"/>
        <v>0</v>
      </c>
      <c r="P17" s="140">
        <f t="shared" si="1"/>
        <v>0</v>
      </c>
      <c r="Q17" s="140">
        <f t="shared" si="1"/>
        <v>0</v>
      </c>
      <c r="R17" s="140">
        <f t="shared" si="1"/>
        <v>0</v>
      </c>
      <c r="S17" s="140">
        <f t="shared" si="1"/>
        <v>0</v>
      </c>
      <c r="T17" s="140">
        <f t="shared" si="1"/>
        <v>0</v>
      </c>
      <c r="U17" s="140">
        <f t="shared" si="1"/>
        <v>0</v>
      </c>
      <c r="V17" s="140">
        <f t="shared" si="1"/>
        <v>0</v>
      </c>
      <c r="W17" s="140">
        <f t="shared" si="1"/>
        <v>0</v>
      </c>
      <c r="X17" s="140">
        <f t="shared" si="1"/>
        <v>0</v>
      </c>
      <c r="Y17" s="141">
        <f>SUM(Y8:Y16)</f>
        <v>98423</v>
      </c>
      <c r="Z17" s="142">
        <f t="shared" si="0"/>
        <v>98423</v>
      </c>
      <c r="AA17" s="143"/>
    </row>
    <row r="18" spans="1:27" ht="20.25" customHeight="1" thickBot="1">
      <c r="A18" s="357" t="s">
        <v>251</v>
      </c>
      <c r="B18" s="139">
        <f t="shared" ref="B18:Z18" si="2">B6+B17</f>
        <v>0</v>
      </c>
      <c r="C18" s="139">
        <f t="shared" si="2"/>
        <v>0</v>
      </c>
      <c r="D18" s="139">
        <f t="shared" si="2"/>
        <v>0</v>
      </c>
      <c r="E18" s="139">
        <f t="shared" si="2"/>
        <v>0</v>
      </c>
      <c r="F18" s="139">
        <f t="shared" si="2"/>
        <v>0</v>
      </c>
      <c r="G18" s="139">
        <f t="shared" si="2"/>
        <v>0</v>
      </c>
      <c r="H18" s="139">
        <f t="shared" si="2"/>
        <v>0</v>
      </c>
      <c r="I18" s="139">
        <f t="shared" si="2"/>
        <v>0</v>
      </c>
      <c r="J18" s="139">
        <f t="shared" si="2"/>
        <v>0</v>
      </c>
      <c r="K18" s="139">
        <f t="shared" si="2"/>
        <v>0</v>
      </c>
      <c r="L18" s="139">
        <f t="shared" si="2"/>
        <v>0</v>
      </c>
      <c r="M18" s="139">
        <f t="shared" si="2"/>
        <v>0</v>
      </c>
      <c r="N18" s="139">
        <f t="shared" si="2"/>
        <v>0</v>
      </c>
      <c r="O18" s="139">
        <f t="shared" si="2"/>
        <v>0</v>
      </c>
      <c r="P18" s="139">
        <f t="shared" si="2"/>
        <v>0</v>
      </c>
      <c r="Q18" s="139">
        <f t="shared" si="2"/>
        <v>0</v>
      </c>
      <c r="R18" s="139">
        <f t="shared" si="2"/>
        <v>0</v>
      </c>
      <c r="S18" s="139">
        <f t="shared" si="2"/>
        <v>0</v>
      </c>
      <c r="T18" s="139">
        <f t="shared" si="2"/>
        <v>0</v>
      </c>
      <c r="U18" s="139">
        <f t="shared" si="2"/>
        <v>0</v>
      </c>
      <c r="V18" s="139">
        <f t="shared" si="2"/>
        <v>0</v>
      </c>
      <c r="W18" s="139">
        <f t="shared" si="2"/>
        <v>0</v>
      </c>
      <c r="X18" s="139">
        <f t="shared" si="2"/>
        <v>0</v>
      </c>
      <c r="Y18" s="139">
        <f t="shared" si="2"/>
        <v>432719</v>
      </c>
      <c r="Z18" s="139">
        <f t="shared" si="2"/>
        <v>432719</v>
      </c>
    </row>
    <row r="19" spans="1:27" ht="20.25" customHeight="1">
      <c r="A19" s="360" t="s">
        <v>56</v>
      </c>
      <c r="B19" s="133">
        <v>1044969.01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40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5">
        <f t="shared" ref="Z19:Z25" si="3">SUM(B19:Y19)</f>
        <v>1044969.01</v>
      </c>
    </row>
    <row r="20" spans="1:27" ht="20.25" customHeight="1">
      <c r="A20" s="359">
        <v>521000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5">
        <f t="shared" si="3"/>
        <v>0</v>
      </c>
    </row>
    <row r="21" spans="1:27" ht="20.25" customHeight="1">
      <c r="A21" s="343" t="s">
        <v>315</v>
      </c>
      <c r="B21" s="136">
        <v>42840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5">
        <f t="shared" si="3"/>
        <v>42840</v>
      </c>
    </row>
    <row r="22" spans="1:27" ht="20.25" customHeight="1">
      <c r="A22" s="343" t="s">
        <v>316</v>
      </c>
      <c r="B22" s="136">
        <v>3510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5">
        <f t="shared" si="3"/>
        <v>3510</v>
      </c>
    </row>
    <row r="23" spans="1:27" ht="20.25" customHeight="1">
      <c r="A23" s="343" t="s">
        <v>194</v>
      </c>
      <c r="B23" s="136">
        <v>3510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5">
        <f t="shared" si="3"/>
        <v>3510</v>
      </c>
    </row>
    <row r="24" spans="1:27" ht="20.25" customHeight="1">
      <c r="A24" s="343" t="s">
        <v>172</v>
      </c>
      <c r="B24" s="144">
        <v>7200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>
        <f t="shared" si="3"/>
        <v>7200</v>
      </c>
    </row>
    <row r="25" spans="1:27" ht="20.25" customHeight="1" thickBot="1">
      <c r="A25" s="344" t="s">
        <v>197</v>
      </c>
      <c r="B25" s="136">
        <v>114000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5">
        <f t="shared" si="3"/>
        <v>114000</v>
      </c>
    </row>
    <row r="26" spans="1:27" ht="20.25" customHeight="1">
      <c r="A26" s="356" t="s">
        <v>250</v>
      </c>
      <c r="B26" s="140">
        <f>SUM(B21:B25)</f>
        <v>171060</v>
      </c>
      <c r="C26" s="140">
        <f t="shared" ref="C26:L26" si="4">SUM(C21:C24)</f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ref="M26:Y26" si="5">SUM(M22:M24)</f>
        <v>0</v>
      </c>
      <c r="N26" s="140">
        <f t="shared" si="5"/>
        <v>0</v>
      </c>
      <c r="O26" s="140">
        <f t="shared" si="5"/>
        <v>0</v>
      </c>
      <c r="P26" s="140">
        <f t="shared" si="5"/>
        <v>0</v>
      </c>
      <c r="Q26" s="140">
        <f t="shared" si="5"/>
        <v>0</v>
      </c>
      <c r="R26" s="140">
        <f t="shared" si="5"/>
        <v>0</v>
      </c>
      <c r="S26" s="140">
        <f t="shared" si="5"/>
        <v>0</v>
      </c>
      <c r="T26" s="140">
        <f t="shared" si="5"/>
        <v>0</v>
      </c>
      <c r="U26" s="140">
        <f t="shared" si="5"/>
        <v>0</v>
      </c>
      <c r="V26" s="140">
        <f t="shared" si="5"/>
        <v>0</v>
      </c>
      <c r="W26" s="140">
        <f t="shared" si="5"/>
        <v>0</v>
      </c>
      <c r="X26" s="140">
        <f t="shared" si="5"/>
        <v>0</v>
      </c>
      <c r="Y26" s="140">
        <f t="shared" si="5"/>
        <v>0</v>
      </c>
      <c r="Z26" s="142">
        <f>SUM(Z20:Z25)</f>
        <v>171060</v>
      </c>
    </row>
    <row r="27" spans="1:27" ht="20.25" customHeight="1" thickBot="1">
      <c r="A27" s="357" t="s">
        <v>251</v>
      </c>
      <c r="B27" s="139">
        <f t="shared" ref="B27:Z27" si="6">B19+B26</f>
        <v>1216029.01</v>
      </c>
      <c r="C27" s="139">
        <f t="shared" si="6"/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  <c r="I27" s="139">
        <f t="shared" si="6"/>
        <v>0</v>
      </c>
      <c r="J27" s="139">
        <f t="shared" si="6"/>
        <v>0</v>
      </c>
      <c r="K27" s="139">
        <f t="shared" si="6"/>
        <v>0</v>
      </c>
      <c r="L27" s="139">
        <f t="shared" si="6"/>
        <v>0</v>
      </c>
      <c r="M27" s="139">
        <f t="shared" si="6"/>
        <v>0</v>
      </c>
      <c r="N27" s="139">
        <f t="shared" si="6"/>
        <v>0</v>
      </c>
      <c r="O27" s="139">
        <f t="shared" si="6"/>
        <v>0</v>
      </c>
      <c r="P27" s="139">
        <f t="shared" si="6"/>
        <v>0</v>
      </c>
      <c r="Q27" s="139">
        <f t="shared" si="6"/>
        <v>0</v>
      </c>
      <c r="R27" s="139">
        <f t="shared" si="6"/>
        <v>0</v>
      </c>
      <c r="S27" s="139">
        <f t="shared" si="6"/>
        <v>0</v>
      </c>
      <c r="T27" s="139">
        <f t="shared" si="6"/>
        <v>0</v>
      </c>
      <c r="U27" s="139">
        <f t="shared" si="6"/>
        <v>0</v>
      </c>
      <c r="V27" s="139">
        <f t="shared" si="6"/>
        <v>0</v>
      </c>
      <c r="W27" s="139">
        <f t="shared" si="6"/>
        <v>0</v>
      </c>
      <c r="X27" s="139">
        <f t="shared" si="6"/>
        <v>0</v>
      </c>
      <c r="Y27" s="139">
        <f t="shared" si="6"/>
        <v>0</v>
      </c>
      <c r="Z27" s="146">
        <f t="shared" si="6"/>
        <v>1216029.01</v>
      </c>
    </row>
    <row r="28" spans="1:27" ht="20.25" customHeight="1">
      <c r="A28" s="360" t="s">
        <v>56</v>
      </c>
      <c r="B28" s="136">
        <v>1174593</v>
      </c>
      <c r="C28" s="136">
        <v>537290.31999999995</v>
      </c>
      <c r="D28" s="133"/>
      <c r="E28" s="133"/>
      <c r="F28" s="133">
        <v>40060</v>
      </c>
      <c r="G28" s="133"/>
      <c r="H28" s="133"/>
      <c r="I28" s="133"/>
      <c r="J28" s="133"/>
      <c r="K28" s="133"/>
      <c r="L28" s="133"/>
      <c r="M28" s="136">
        <v>366315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5">
        <f t="shared" ref="Z28:Z37" si="7">SUM(B28:Y28)</f>
        <v>2118258.3199999998</v>
      </c>
    </row>
    <row r="29" spans="1:27" ht="20.25" customHeight="1">
      <c r="A29" s="359">
        <v>522000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5">
        <f t="shared" si="7"/>
        <v>0</v>
      </c>
    </row>
    <row r="30" spans="1:27" ht="20.25" customHeight="1">
      <c r="A30" s="343" t="s">
        <v>317</v>
      </c>
      <c r="B30" s="138">
        <v>131970</v>
      </c>
      <c r="C30" s="138">
        <v>55140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>
        <v>30860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5">
        <f t="shared" si="7"/>
        <v>217970</v>
      </c>
    </row>
    <row r="31" spans="1:27" ht="20.25" customHeight="1">
      <c r="A31" s="343" t="s">
        <v>318</v>
      </c>
      <c r="B31" s="136">
        <v>11590</v>
      </c>
      <c r="C31" s="136">
        <v>7540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>
        <v>1285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5">
        <f t="shared" si="7"/>
        <v>20415</v>
      </c>
    </row>
    <row r="32" spans="1:27" ht="20.25" customHeight="1">
      <c r="A32" s="343" t="s">
        <v>319</v>
      </c>
      <c r="B32" s="138">
        <v>3500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5">
        <f t="shared" si="7"/>
        <v>3500</v>
      </c>
    </row>
    <row r="33" spans="1:26" ht="20.25" customHeight="1">
      <c r="A33" s="343" t="s">
        <v>320</v>
      </c>
      <c r="B33" s="138">
        <v>8970</v>
      </c>
      <c r="C33" s="138">
        <v>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5">
        <f t="shared" si="7"/>
        <v>8970</v>
      </c>
    </row>
    <row r="34" spans="1:26" ht="20.25" customHeight="1">
      <c r="A34" s="343" t="s">
        <v>321</v>
      </c>
      <c r="B34" s="138">
        <v>6030</v>
      </c>
      <c r="C34" s="138">
        <v>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5">
        <f t="shared" si="7"/>
        <v>6030</v>
      </c>
    </row>
    <row r="35" spans="1:26" ht="20.25" customHeight="1">
      <c r="A35" s="343" t="s">
        <v>322</v>
      </c>
      <c r="B35" s="136">
        <v>16020</v>
      </c>
      <c r="C35" s="136">
        <v>18160</v>
      </c>
      <c r="D35" s="136"/>
      <c r="E35" s="136"/>
      <c r="F35" s="136">
        <v>11260</v>
      </c>
      <c r="G35" s="136"/>
      <c r="H35" s="136"/>
      <c r="I35" s="136"/>
      <c r="J35" s="136"/>
      <c r="K35" s="136"/>
      <c r="L35" s="136"/>
      <c r="M35" s="136">
        <v>18150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5">
        <f t="shared" si="7"/>
        <v>63590</v>
      </c>
    </row>
    <row r="36" spans="1:26" ht="20.25" customHeight="1">
      <c r="A36" s="345" t="s">
        <v>323</v>
      </c>
      <c r="B36" s="136">
        <v>10980</v>
      </c>
      <c r="C36" s="136">
        <v>8840</v>
      </c>
      <c r="D36" s="136"/>
      <c r="E36" s="136"/>
      <c r="F36" s="136">
        <v>7320</v>
      </c>
      <c r="G36" s="136"/>
      <c r="H36" s="136"/>
      <c r="I36" s="136"/>
      <c r="J36" s="136"/>
      <c r="K36" s="136"/>
      <c r="L36" s="136"/>
      <c r="M36" s="136">
        <v>8850</v>
      </c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45">
        <f t="shared" si="7"/>
        <v>35990</v>
      </c>
    </row>
    <row r="37" spans="1:26" ht="20.25" customHeight="1">
      <c r="A37" s="361" t="s">
        <v>250</v>
      </c>
      <c r="B37" s="133">
        <f t="shared" ref="B37:Y37" si="8">SUM(B30:B36)</f>
        <v>189060</v>
      </c>
      <c r="C37" s="133">
        <f t="shared" si="8"/>
        <v>89680</v>
      </c>
      <c r="D37" s="133">
        <f t="shared" si="8"/>
        <v>0</v>
      </c>
      <c r="E37" s="133">
        <f t="shared" si="8"/>
        <v>0</v>
      </c>
      <c r="F37" s="133">
        <f t="shared" si="8"/>
        <v>18580</v>
      </c>
      <c r="G37" s="133">
        <f t="shared" si="8"/>
        <v>0</v>
      </c>
      <c r="H37" s="133">
        <f t="shared" si="8"/>
        <v>0</v>
      </c>
      <c r="I37" s="133">
        <f t="shared" si="8"/>
        <v>0</v>
      </c>
      <c r="J37" s="133">
        <f t="shared" si="8"/>
        <v>0</v>
      </c>
      <c r="K37" s="133">
        <f t="shared" si="8"/>
        <v>0</v>
      </c>
      <c r="L37" s="133">
        <f t="shared" si="8"/>
        <v>0</v>
      </c>
      <c r="M37" s="133">
        <f t="shared" si="8"/>
        <v>59145</v>
      </c>
      <c r="N37" s="133">
        <f t="shared" si="8"/>
        <v>0</v>
      </c>
      <c r="O37" s="133">
        <f t="shared" si="8"/>
        <v>0</v>
      </c>
      <c r="P37" s="133">
        <f t="shared" si="8"/>
        <v>0</v>
      </c>
      <c r="Q37" s="133">
        <f t="shared" si="8"/>
        <v>0</v>
      </c>
      <c r="R37" s="133">
        <f t="shared" si="8"/>
        <v>0</v>
      </c>
      <c r="S37" s="133">
        <f t="shared" si="8"/>
        <v>0</v>
      </c>
      <c r="T37" s="133">
        <f t="shared" si="8"/>
        <v>0</v>
      </c>
      <c r="U37" s="133">
        <f t="shared" si="8"/>
        <v>0</v>
      </c>
      <c r="V37" s="133">
        <f t="shared" si="8"/>
        <v>0</v>
      </c>
      <c r="W37" s="133">
        <f t="shared" si="8"/>
        <v>0</v>
      </c>
      <c r="X37" s="133">
        <f t="shared" si="8"/>
        <v>0</v>
      </c>
      <c r="Y37" s="133">
        <f t="shared" si="8"/>
        <v>0</v>
      </c>
      <c r="Z37" s="135">
        <f t="shared" si="7"/>
        <v>356465</v>
      </c>
    </row>
    <row r="38" spans="1:26" ht="20.25" customHeight="1" thickBot="1">
      <c r="A38" s="357" t="s">
        <v>251</v>
      </c>
      <c r="B38" s="139">
        <f t="shared" ref="B38:Z38" si="9">B28+B37</f>
        <v>1363653</v>
      </c>
      <c r="C38" s="139">
        <f t="shared" si="9"/>
        <v>626970.31999999995</v>
      </c>
      <c r="D38" s="139">
        <f t="shared" si="9"/>
        <v>0</v>
      </c>
      <c r="E38" s="139">
        <f t="shared" si="9"/>
        <v>0</v>
      </c>
      <c r="F38" s="139">
        <f t="shared" si="9"/>
        <v>58640</v>
      </c>
      <c r="G38" s="139">
        <f t="shared" si="9"/>
        <v>0</v>
      </c>
      <c r="H38" s="139">
        <f t="shared" si="9"/>
        <v>0</v>
      </c>
      <c r="I38" s="139">
        <f t="shared" si="9"/>
        <v>0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425460</v>
      </c>
      <c r="N38" s="139">
        <f t="shared" si="9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9">
        <f t="shared" si="9"/>
        <v>0</v>
      </c>
      <c r="S38" s="139">
        <f t="shared" si="9"/>
        <v>0</v>
      </c>
      <c r="T38" s="139">
        <f t="shared" si="9"/>
        <v>0</v>
      </c>
      <c r="U38" s="139">
        <f t="shared" si="9"/>
        <v>0</v>
      </c>
      <c r="V38" s="139">
        <f t="shared" si="9"/>
        <v>0</v>
      </c>
      <c r="W38" s="139">
        <f t="shared" si="9"/>
        <v>0</v>
      </c>
      <c r="X38" s="139">
        <f t="shared" si="9"/>
        <v>0</v>
      </c>
      <c r="Y38" s="139">
        <f t="shared" si="9"/>
        <v>0</v>
      </c>
      <c r="Z38" s="146">
        <f t="shared" si="9"/>
        <v>2474723.3199999998</v>
      </c>
    </row>
    <row r="39" spans="1:26" ht="20.25" customHeight="1">
      <c r="A39" s="170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ht="20.25" customHeight="1">
      <c r="A40" s="17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ht="20.25" customHeight="1">
      <c r="A41" s="170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ht="20.25" customHeight="1">
      <c r="A42" s="170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ht="20.25" customHeight="1" thickBot="1">
      <c r="A43" s="170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</row>
    <row r="44" spans="1:26" ht="20.25" customHeight="1">
      <c r="A44" s="512" t="s">
        <v>210</v>
      </c>
      <c r="B44" s="513"/>
      <c r="C44" s="513"/>
      <c r="D44" s="513"/>
      <c r="E44" s="513"/>
      <c r="F44" s="513"/>
      <c r="G44" s="513"/>
      <c r="H44" s="513"/>
      <c r="I44" s="513"/>
      <c r="J44" s="513"/>
      <c r="K44" s="513"/>
      <c r="L44" s="513"/>
      <c r="M44" s="513"/>
      <c r="N44" s="513"/>
      <c r="O44" s="513"/>
      <c r="P44" s="513"/>
      <c r="Q44" s="513"/>
      <c r="R44" s="513"/>
      <c r="S44" s="513"/>
      <c r="T44" s="513"/>
      <c r="U44" s="513"/>
      <c r="V44" s="513"/>
      <c r="W44" s="513"/>
      <c r="X44" s="513"/>
      <c r="Y44" s="513"/>
      <c r="Z44" s="513"/>
    </row>
    <row r="45" spans="1:26" ht="20.25" customHeight="1">
      <c r="A45" s="514" t="s">
        <v>211</v>
      </c>
      <c r="B45" s="515"/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  <c r="O45" s="515"/>
      <c r="P45" s="515"/>
      <c r="Q45" s="515"/>
      <c r="R45" s="515"/>
      <c r="S45" s="515"/>
      <c r="T45" s="515"/>
      <c r="U45" s="515"/>
      <c r="V45" s="515"/>
      <c r="W45" s="515"/>
      <c r="X45" s="515"/>
      <c r="Y45" s="515"/>
      <c r="Z45" s="515"/>
    </row>
    <row r="46" spans="1:26" ht="20.25" customHeight="1" thickBot="1">
      <c r="A46" s="511" t="str">
        <f>A3</f>
        <v>วันที่  31  พฤษภาคม  2556</v>
      </c>
      <c r="B46" s="502"/>
      <c r="C46" s="502"/>
      <c r="D46" s="502"/>
      <c r="E46" s="502"/>
      <c r="F46" s="502"/>
      <c r="G46" s="502"/>
      <c r="H46" s="502"/>
      <c r="I46" s="502"/>
      <c r="J46" s="502"/>
      <c r="K46" s="502"/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</row>
    <row r="47" spans="1:26" ht="20.25" customHeight="1">
      <c r="A47" s="356" t="s">
        <v>212</v>
      </c>
      <c r="B47" s="503" t="s">
        <v>213</v>
      </c>
      <c r="C47" s="503"/>
      <c r="D47" s="503" t="s">
        <v>214</v>
      </c>
      <c r="E47" s="503"/>
      <c r="F47" s="503" t="s">
        <v>215</v>
      </c>
      <c r="G47" s="503"/>
      <c r="H47" s="503"/>
      <c r="I47" s="503" t="s">
        <v>216</v>
      </c>
      <c r="J47" s="503"/>
      <c r="K47" s="503" t="s">
        <v>217</v>
      </c>
      <c r="L47" s="503"/>
      <c r="M47" s="504" t="s">
        <v>218</v>
      </c>
      <c r="N47" s="505"/>
      <c r="O47" s="506"/>
      <c r="P47" s="503" t="s">
        <v>219</v>
      </c>
      <c r="Q47" s="503"/>
      <c r="R47" s="503" t="s">
        <v>220</v>
      </c>
      <c r="S47" s="503"/>
      <c r="T47" s="503"/>
      <c r="U47" s="353" t="s">
        <v>221</v>
      </c>
      <c r="V47" s="503" t="s">
        <v>222</v>
      </c>
      <c r="W47" s="503"/>
      <c r="X47" s="353" t="s">
        <v>223</v>
      </c>
      <c r="Y47" s="353" t="s">
        <v>224</v>
      </c>
      <c r="Z47" s="507" t="s">
        <v>55</v>
      </c>
    </row>
    <row r="48" spans="1:26" ht="20.25" customHeight="1" thickBot="1">
      <c r="A48" s="357" t="s">
        <v>225</v>
      </c>
      <c r="B48" s="131" t="s">
        <v>226</v>
      </c>
      <c r="C48" s="131" t="s">
        <v>227</v>
      </c>
      <c r="D48" s="131" t="s">
        <v>228</v>
      </c>
      <c r="E48" s="131" t="s">
        <v>229</v>
      </c>
      <c r="F48" s="131" t="s">
        <v>230</v>
      </c>
      <c r="G48" s="131" t="s">
        <v>231</v>
      </c>
      <c r="H48" s="131" t="s">
        <v>232</v>
      </c>
      <c r="I48" s="131" t="s">
        <v>233</v>
      </c>
      <c r="J48" s="131" t="s">
        <v>234</v>
      </c>
      <c r="K48" s="131" t="s">
        <v>235</v>
      </c>
      <c r="L48" s="131" t="s">
        <v>236</v>
      </c>
      <c r="M48" s="132" t="s">
        <v>237</v>
      </c>
      <c r="N48" s="131" t="s">
        <v>238</v>
      </c>
      <c r="O48" s="131" t="s">
        <v>239</v>
      </c>
      <c r="P48" s="131" t="s">
        <v>240</v>
      </c>
      <c r="Q48" s="131" t="s">
        <v>241</v>
      </c>
      <c r="R48" s="131" t="s">
        <v>242</v>
      </c>
      <c r="S48" s="131" t="s">
        <v>243</v>
      </c>
      <c r="T48" s="131" t="s">
        <v>244</v>
      </c>
      <c r="U48" s="131">
        <v>311</v>
      </c>
      <c r="V48" s="131" t="s">
        <v>246</v>
      </c>
      <c r="W48" s="131" t="s">
        <v>247</v>
      </c>
      <c r="X48" s="131" t="s">
        <v>248</v>
      </c>
      <c r="Y48" s="131" t="s">
        <v>249</v>
      </c>
      <c r="Z48" s="508"/>
    </row>
    <row r="49" spans="1:26" ht="20.25" customHeight="1">
      <c r="A49" s="360" t="s">
        <v>56</v>
      </c>
      <c r="B49" s="133">
        <v>67367</v>
      </c>
      <c r="C49" s="133">
        <v>25418</v>
      </c>
      <c r="D49" s="133">
        <v>86100</v>
      </c>
      <c r="E49" s="133"/>
      <c r="F49" s="133"/>
      <c r="G49" s="133">
        <v>0</v>
      </c>
      <c r="H49" s="133">
        <v>0</v>
      </c>
      <c r="I49" s="133">
        <v>0</v>
      </c>
      <c r="J49" s="133">
        <v>0</v>
      </c>
      <c r="K49" s="133">
        <v>0</v>
      </c>
      <c r="L49" s="133">
        <v>0</v>
      </c>
      <c r="M49" s="133">
        <v>8484</v>
      </c>
      <c r="N49" s="133"/>
      <c r="O49" s="133">
        <v>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0</v>
      </c>
      <c r="Y49" s="133">
        <v>0</v>
      </c>
      <c r="Z49" s="135">
        <f t="shared" ref="Z49:Z50" si="10">SUM(B49:Y49)</f>
        <v>187369</v>
      </c>
    </row>
    <row r="50" spans="1:26" ht="20.25" customHeight="1">
      <c r="A50" s="359">
        <v>531000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5">
        <f t="shared" si="10"/>
        <v>0</v>
      </c>
    </row>
    <row r="51" spans="1:26" ht="20.25" customHeight="1">
      <c r="A51" s="346" t="s">
        <v>326</v>
      </c>
      <c r="B51" s="136"/>
      <c r="C51" s="136">
        <v>2700</v>
      </c>
      <c r="D51" s="136">
        <v>0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5">
        <f>SUM(B51:Y51)</f>
        <v>2700</v>
      </c>
    </row>
    <row r="52" spans="1:26" ht="20.25" customHeight="1">
      <c r="A52" s="346" t="s">
        <v>327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5">
        <f t="shared" ref="Z52:Z57" si="11">SUM(B52:Y52)</f>
        <v>0</v>
      </c>
    </row>
    <row r="53" spans="1:26" ht="20.25" customHeight="1">
      <c r="A53" s="346" t="s">
        <v>328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5">
        <f t="shared" si="11"/>
        <v>0</v>
      </c>
    </row>
    <row r="54" spans="1:26" ht="20.25" customHeight="1">
      <c r="A54" s="346" t="s">
        <v>329</v>
      </c>
      <c r="B54" s="136">
        <v>1600</v>
      </c>
      <c r="C54" s="136">
        <v>3000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8"/>
      <c r="Z54" s="135">
        <f t="shared" si="11"/>
        <v>4600</v>
      </c>
    </row>
    <row r="55" spans="1:26" ht="20.25" customHeight="1">
      <c r="A55" s="346" t="s">
        <v>330</v>
      </c>
      <c r="B55" s="148">
        <v>0</v>
      </c>
      <c r="C55" s="136">
        <v>0</v>
      </c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5">
        <f t="shared" si="11"/>
        <v>0</v>
      </c>
    </row>
    <row r="56" spans="1:26" ht="20.25" customHeight="1" thickBot="1">
      <c r="A56" s="347" t="s">
        <v>331</v>
      </c>
      <c r="B56" s="149">
        <f>2837+7055</f>
        <v>9892</v>
      </c>
      <c r="C56" s="136">
        <v>1123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>
        <v>0</v>
      </c>
      <c r="N56" s="133">
        <v>0</v>
      </c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9"/>
      <c r="Z56" s="135">
        <f t="shared" si="11"/>
        <v>11015</v>
      </c>
    </row>
    <row r="57" spans="1:26" ht="20.25" customHeight="1">
      <c r="A57" s="356" t="s">
        <v>250</v>
      </c>
      <c r="B57" s="140">
        <f t="shared" ref="B57:Y57" si="12">SUM(B50:B56)</f>
        <v>11492</v>
      </c>
      <c r="C57" s="140">
        <f t="shared" si="12"/>
        <v>6823</v>
      </c>
      <c r="D57" s="140">
        <f t="shared" si="12"/>
        <v>0</v>
      </c>
      <c r="E57" s="140">
        <f t="shared" si="12"/>
        <v>0</v>
      </c>
      <c r="F57" s="140">
        <f t="shared" si="12"/>
        <v>0</v>
      </c>
      <c r="G57" s="140">
        <f t="shared" si="12"/>
        <v>0</v>
      </c>
      <c r="H57" s="140">
        <f t="shared" si="12"/>
        <v>0</v>
      </c>
      <c r="I57" s="140">
        <f t="shared" si="12"/>
        <v>0</v>
      </c>
      <c r="J57" s="140">
        <f t="shared" si="12"/>
        <v>0</v>
      </c>
      <c r="K57" s="140">
        <f t="shared" si="12"/>
        <v>0</v>
      </c>
      <c r="L57" s="140">
        <f t="shared" si="12"/>
        <v>0</v>
      </c>
      <c r="M57" s="140">
        <f t="shared" si="12"/>
        <v>0</v>
      </c>
      <c r="N57" s="140">
        <f t="shared" si="12"/>
        <v>0</v>
      </c>
      <c r="O57" s="140">
        <f t="shared" si="12"/>
        <v>0</v>
      </c>
      <c r="P57" s="140">
        <f t="shared" si="12"/>
        <v>0</v>
      </c>
      <c r="Q57" s="140">
        <f t="shared" si="12"/>
        <v>0</v>
      </c>
      <c r="R57" s="140">
        <f t="shared" si="12"/>
        <v>0</v>
      </c>
      <c r="S57" s="140">
        <f t="shared" si="12"/>
        <v>0</v>
      </c>
      <c r="T57" s="140">
        <f t="shared" si="12"/>
        <v>0</v>
      </c>
      <c r="U57" s="140">
        <f t="shared" si="12"/>
        <v>0</v>
      </c>
      <c r="V57" s="140">
        <f t="shared" si="12"/>
        <v>0</v>
      </c>
      <c r="W57" s="140">
        <f t="shared" si="12"/>
        <v>0</v>
      </c>
      <c r="X57" s="140">
        <f t="shared" si="12"/>
        <v>0</v>
      </c>
      <c r="Y57" s="140">
        <f t="shared" si="12"/>
        <v>0</v>
      </c>
      <c r="Z57" s="142">
        <f t="shared" si="11"/>
        <v>18315</v>
      </c>
    </row>
    <row r="58" spans="1:26" ht="20.25" customHeight="1" thickBot="1">
      <c r="A58" s="357" t="s">
        <v>251</v>
      </c>
      <c r="B58" s="139">
        <f>B57+B49</f>
        <v>78859</v>
      </c>
      <c r="C58" s="139">
        <f>C49+C57</f>
        <v>32241</v>
      </c>
      <c r="D58" s="139">
        <f t="shared" ref="D58:L58" si="13">D57+D49</f>
        <v>86100</v>
      </c>
      <c r="E58" s="139">
        <f t="shared" si="13"/>
        <v>0</v>
      </c>
      <c r="F58" s="139">
        <f t="shared" si="13"/>
        <v>0</v>
      </c>
      <c r="G58" s="139">
        <f t="shared" si="13"/>
        <v>0</v>
      </c>
      <c r="H58" s="139">
        <f t="shared" si="13"/>
        <v>0</v>
      </c>
      <c r="I58" s="139">
        <f t="shared" si="13"/>
        <v>0</v>
      </c>
      <c r="J58" s="139">
        <f t="shared" si="13"/>
        <v>0</v>
      </c>
      <c r="K58" s="139">
        <f t="shared" si="13"/>
        <v>0</v>
      </c>
      <c r="L58" s="139">
        <f t="shared" si="13"/>
        <v>0</v>
      </c>
      <c r="M58" s="139">
        <f t="shared" ref="M58:Z58" si="14">M49+M57</f>
        <v>8484</v>
      </c>
      <c r="N58" s="139">
        <f t="shared" si="14"/>
        <v>0</v>
      </c>
      <c r="O58" s="139">
        <f t="shared" si="14"/>
        <v>0</v>
      </c>
      <c r="P58" s="139">
        <f t="shared" si="14"/>
        <v>0</v>
      </c>
      <c r="Q58" s="139">
        <f t="shared" si="14"/>
        <v>0</v>
      </c>
      <c r="R58" s="139">
        <f t="shared" si="14"/>
        <v>0</v>
      </c>
      <c r="S58" s="139">
        <f t="shared" si="14"/>
        <v>0</v>
      </c>
      <c r="T58" s="139">
        <f t="shared" si="14"/>
        <v>0</v>
      </c>
      <c r="U58" s="139">
        <f t="shared" si="14"/>
        <v>0</v>
      </c>
      <c r="V58" s="139">
        <f t="shared" si="14"/>
        <v>0</v>
      </c>
      <c r="W58" s="139">
        <f t="shared" si="14"/>
        <v>0</v>
      </c>
      <c r="X58" s="139">
        <f t="shared" si="14"/>
        <v>0</v>
      </c>
      <c r="Y58" s="139">
        <f t="shared" si="14"/>
        <v>0</v>
      </c>
      <c r="Z58" s="146">
        <f t="shared" si="14"/>
        <v>205684</v>
      </c>
    </row>
    <row r="59" spans="1:26" ht="20.25" customHeight="1">
      <c r="A59" s="358" t="s">
        <v>56</v>
      </c>
      <c r="B59" s="149">
        <v>341348.27</v>
      </c>
      <c r="C59" s="149">
        <v>92262.05</v>
      </c>
      <c r="D59" s="149">
        <v>11063</v>
      </c>
      <c r="E59" s="149">
        <v>0</v>
      </c>
      <c r="F59" s="149">
        <v>332410</v>
      </c>
      <c r="G59" s="149">
        <v>93920</v>
      </c>
      <c r="H59" s="149"/>
      <c r="I59" s="149"/>
      <c r="J59" s="149"/>
      <c r="K59" s="149"/>
      <c r="L59" s="149"/>
      <c r="M59" s="150">
        <v>7670</v>
      </c>
      <c r="N59" s="149"/>
      <c r="O59" s="149"/>
      <c r="P59" s="149">
        <v>2945</v>
      </c>
      <c r="Q59" s="149">
        <v>0</v>
      </c>
      <c r="R59" s="149">
        <v>20000</v>
      </c>
      <c r="S59" s="149">
        <v>64759</v>
      </c>
      <c r="T59" s="149">
        <v>94710</v>
      </c>
      <c r="U59" s="149"/>
      <c r="V59" s="149"/>
      <c r="W59" s="149"/>
      <c r="X59" s="149"/>
      <c r="Y59" s="149"/>
      <c r="Z59" s="151">
        <f t="shared" ref="Z59:Z64" si="15">SUM(B59:Y59)</f>
        <v>1061087.32</v>
      </c>
    </row>
    <row r="60" spans="1:26" ht="20.25" customHeight="1">
      <c r="A60" s="359">
        <v>532000</v>
      </c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51">
        <f t="shared" si="15"/>
        <v>0</v>
      </c>
    </row>
    <row r="61" spans="1:26" ht="20.25" customHeight="1">
      <c r="A61" s="346" t="s">
        <v>332</v>
      </c>
      <c r="B61" s="138">
        <f>3800+5000+3000+1800</f>
        <v>13600</v>
      </c>
      <c r="C61" s="138">
        <v>0</v>
      </c>
      <c r="D61" s="138"/>
      <c r="E61" s="138"/>
      <c r="F61" s="138">
        <v>0</v>
      </c>
      <c r="G61" s="138"/>
      <c r="H61" s="138"/>
      <c r="I61" s="138"/>
      <c r="J61" s="138"/>
      <c r="K61" s="138"/>
      <c r="L61" s="138"/>
      <c r="M61" s="136">
        <v>0</v>
      </c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51">
        <f t="shared" si="15"/>
        <v>13600</v>
      </c>
    </row>
    <row r="62" spans="1:26" ht="20.25" customHeight="1">
      <c r="A62" s="348" t="s">
        <v>333</v>
      </c>
      <c r="B62" s="138">
        <v>5775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6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51">
        <f t="shared" si="15"/>
        <v>5775</v>
      </c>
    </row>
    <row r="63" spans="1:26" ht="20.25" customHeight="1">
      <c r="A63" s="348" t="s">
        <v>334</v>
      </c>
      <c r="B63" s="138">
        <f>799+9510+2320</f>
        <v>12629</v>
      </c>
      <c r="C63" s="138">
        <f>6000+5400+750</f>
        <v>12150</v>
      </c>
      <c r="D63" s="138">
        <f>980</f>
        <v>980</v>
      </c>
      <c r="E63" s="138"/>
      <c r="F63" s="138">
        <v>0</v>
      </c>
      <c r="G63" s="138">
        <v>0</v>
      </c>
      <c r="H63" s="138"/>
      <c r="I63" s="138"/>
      <c r="J63" s="138"/>
      <c r="K63" s="138"/>
      <c r="L63" s="138"/>
      <c r="M63" s="136">
        <v>0</v>
      </c>
      <c r="N63" s="138"/>
      <c r="O63" s="138"/>
      <c r="P63" s="138">
        <f>850+2450+1250+3500+1800</f>
        <v>9850</v>
      </c>
      <c r="Q63" s="138">
        <v>0</v>
      </c>
      <c r="R63" s="138">
        <v>0</v>
      </c>
      <c r="S63" s="138">
        <v>2000</v>
      </c>
      <c r="T63" s="138">
        <f>7800+17000+15825+3700+765+6000+22000+1960+5346+2000+1500</f>
        <v>83896</v>
      </c>
      <c r="U63" s="138"/>
      <c r="V63" s="138"/>
      <c r="W63" s="138"/>
      <c r="X63" s="138"/>
      <c r="Y63" s="138"/>
      <c r="Z63" s="151">
        <f t="shared" si="15"/>
        <v>121505</v>
      </c>
    </row>
    <row r="64" spans="1:26" ht="20.25" customHeight="1" thickBot="1">
      <c r="A64" s="347" t="s">
        <v>335</v>
      </c>
      <c r="B64" s="138">
        <f>1600+2800</f>
        <v>4400</v>
      </c>
      <c r="C64" s="138"/>
      <c r="D64" s="138">
        <f>2800+4500</f>
        <v>7300</v>
      </c>
      <c r="E64" s="138"/>
      <c r="F64" s="138"/>
      <c r="G64" s="138"/>
      <c r="H64" s="138"/>
      <c r="I64" s="138"/>
      <c r="J64" s="138"/>
      <c r="K64" s="138"/>
      <c r="L64" s="138"/>
      <c r="M64" s="144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51">
        <f t="shared" si="15"/>
        <v>11700</v>
      </c>
    </row>
    <row r="65" spans="1:208" ht="20.25" customHeight="1">
      <c r="A65" s="356" t="s">
        <v>250</v>
      </c>
      <c r="B65" s="140">
        <f t="shared" ref="B65:Z65" si="16">SUM(B61:B64)</f>
        <v>36404</v>
      </c>
      <c r="C65" s="140">
        <f t="shared" si="16"/>
        <v>12150</v>
      </c>
      <c r="D65" s="140">
        <f t="shared" si="16"/>
        <v>8280</v>
      </c>
      <c r="E65" s="140">
        <f t="shared" si="16"/>
        <v>0</v>
      </c>
      <c r="F65" s="140">
        <f t="shared" si="16"/>
        <v>0</v>
      </c>
      <c r="G65" s="140">
        <f t="shared" si="16"/>
        <v>0</v>
      </c>
      <c r="H65" s="140">
        <f t="shared" si="16"/>
        <v>0</v>
      </c>
      <c r="I65" s="140">
        <f t="shared" si="16"/>
        <v>0</v>
      </c>
      <c r="J65" s="140">
        <f t="shared" si="16"/>
        <v>0</v>
      </c>
      <c r="K65" s="140">
        <f t="shared" si="16"/>
        <v>0</v>
      </c>
      <c r="L65" s="140">
        <f t="shared" si="16"/>
        <v>0</v>
      </c>
      <c r="M65" s="140">
        <f t="shared" si="16"/>
        <v>0</v>
      </c>
      <c r="N65" s="140">
        <f t="shared" si="16"/>
        <v>0</v>
      </c>
      <c r="O65" s="140">
        <f t="shared" si="16"/>
        <v>0</v>
      </c>
      <c r="P65" s="140">
        <f t="shared" si="16"/>
        <v>9850</v>
      </c>
      <c r="Q65" s="140">
        <f t="shared" si="16"/>
        <v>0</v>
      </c>
      <c r="R65" s="140">
        <f t="shared" si="16"/>
        <v>0</v>
      </c>
      <c r="S65" s="140">
        <f t="shared" si="16"/>
        <v>2000</v>
      </c>
      <c r="T65" s="140">
        <f t="shared" si="16"/>
        <v>83896</v>
      </c>
      <c r="U65" s="140">
        <f t="shared" si="16"/>
        <v>0</v>
      </c>
      <c r="V65" s="140">
        <f t="shared" si="16"/>
        <v>0</v>
      </c>
      <c r="W65" s="140">
        <f t="shared" si="16"/>
        <v>0</v>
      </c>
      <c r="X65" s="140">
        <f t="shared" si="16"/>
        <v>0</v>
      </c>
      <c r="Y65" s="140">
        <f t="shared" si="16"/>
        <v>0</v>
      </c>
      <c r="Z65" s="142">
        <f t="shared" si="16"/>
        <v>152580</v>
      </c>
    </row>
    <row r="66" spans="1:208" ht="20.25" customHeight="1" thickBot="1">
      <c r="A66" s="357" t="s">
        <v>251</v>
      </c>
      <c r="B66" s="139">
        <f t="shared" ref="B66:R66" si="17">B59+B65</f>
        <v>377752.27</v>
      </c>
      <c r="C66" s="139">
        <f t="shared" si="17"/>
        <v>104412.05</v>
      </c>
      <c r="D66" s="139">
        <f t="shared" si="17"/>
        <v>19343</v>
      </c>
      <c r="E66" s="139">
        <f t="shared" si="17"/>
        <v>0</v>
      </c>
      <c r="F66" s="139">
        <f t="shared" si="17"/>
        <v>332410</v>
      </c>
      <c r="G66" s="139">
        <f t="shared" si="17"/>
        <v>93920</v>
      </c>
      <c r="H66" s="139">
        <f t="shared" si="17"/>
        <v>0</v>
      </c>
      <c r="I66" s="139">
        <f t="shared" si="17"/>
        <v>0</v>
      </c>
      <c r="J66" s="139">
        <f t="shared" si="17"/>
        <v>0</v>
      </c>
      <c r="K66" s="139">
        <f t="shared" si="17"/>
        <v>0</v>
      </c>
      <c r="L66" s="139">
        <f t="shared" si="17"/>
        <v>0</v>
      </c>
      <c r="M66" s="139">
        <f t="shared" si="17"/>
        <v>7670</v>
      </c>
      <c r="N66" s="139">
        <f t="shared" si="17"/>
        <v>0</v>
      </c>
      <c r="O66" s="139">
        <f t="shared" si="17"/>
        <v>0</v>
      </c>
      <c r="P66" s="139">
        <f t="shared" si="17"/>
        <v>12795</v>
      </c>
      <c r="Q66" s="139">
        <f t="shared" si="17"/>
        <v>0</v>
      </c>
      <c r="R66" s="139">
        <f t="shared" si="17"/>
        <v>20000</v>
      </c>
      <c r="S66" s="139">
        <f>+S59+S65</f>
        <v>66759</v>
      </c>
      <c r="T66" s="139">
        <f t="shared" ref="T66:Z66" si="18">T59+T65</f>
        <v>178606</v>
      </c>
      <c r="U66" s="139">
        <f t="shared" si="18"/>
        <v>0</v>
      </c>
      <c r="V66" s="139">
        <f t="shared" si="18"/>
        <v>0</v>
      </c>
      <c r="W66" s="139">
        <f t="shared" si="18"/>
        <v>0</v>
      </c>
      <c r="X66" s="139">
        <f t="shared" si="18"/>
        <v>0</v>
      </c>
      <c r="Y66" s="139">
        <f t="shared" si="18"/>
        <v>0</v>
      </c>
      <c r="Z66" s="146">
        <f t="shared" si="18"/>
        <v>1213667.32</v>
      </c>
    </row>
    <row r="67" spans="1:208" s="136" customFormat="1" ht="20.25" customHeight="1">
      <c r="A67" s="360" t="s">
        <v>56</v>
      </c>
      <c r="B67" s="133">
        <v>92934</v>
      </c>
      <c r="C67" s="138">
        <v>8134</v>
      </c>
      <c r="D67" s="149">
        <v>12560</v>
      </c>
      <c r="E67" s="149"/>
      <c r="F67" s="133">
        <v>779727.6</v>
      </c>
      <c r="G67" s="133"/>
      <c r="H67" s="133"/>
      <c r="I67" s="149"/>
      <c r="J67" s="152"/>
      <c r="K67" s="152"/>
      <c r="L67" s="152"/>
      <c r="M67" s="152">
        <v>2400</v>
      </c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5">
        <f t="shared" ref="Z67:Z82" si="19">SUM(B67:Y67)</f>
        <v>895755.6</v>
      </c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</row>
    <row r="68" spans="1:208" s="136" customFormat="1" ht="20.25" customHeight="1">
      <c r="A68" s="359">
        <v>533000</v>
      </c>
      <c r="B68" s="148"/>
      <c r="C68" s="148"/>
      <c r="D68" s="148"/>
      <c r="E68" s="148"/>
      <c r="F68" s="148"/>
      <c r="G68" s="148"/>
      <c r="H68" s="148"/>
      <c r="I68" s="148"/>
      <c r="J68" s="152"/>
      <c r="K68" s="152"/>
      <c r="L68" s="152"/>
      <c r="M68" s="152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5">
        <f t="shared" si="19"/>
        <v>0</v>
      </c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DS68" s="143"/>
      <c r="DT68" s="143"/>
      <c r="DU68" s="143"/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3"/>
      <c r="FE68" s="143"/>
      <c r="FF68" s="143"/>
      <c r="FG68" s="143"/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/>
      <c r="GR68" s="143"/>
      <c r="GS68" s="143"/>
      <c r="GT68" s="143"/>
      <c r="GU68" s="143"/>
      <c r="GV68" s="143"/>
      <c r="GW68" s="143"/>
      <c r="GX68" s="143"/>
      <c r="GY68" s="143"/>
      <c r="GZ68" s="143"/>
    </row>
    <row r="69" spans="1:208" s="136" customFormat="1" ht="20.25" customHeight="1">
      <c r="A69" s="346" t="s">
        <v>336</v>
      </c>
      <c r="B69" s="138">
        <v>0</v>
      </c>
      <c r="C69" s="138">
        <v>0</v>
      </c>
      <c r="D69" s="148"/>
      <c r="E69" s="148"/>
      <c r="F69" s="138"/>
      <c r="G69" s="138"/>
      <c r="H69" s="148"/>
      <c r="I69" s="148"/>
      <c r="J69" s="152"/>
      <c r="K69" s="152"/>
      <c r="L69" s="152"/>
      <c r="M69" s="152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5">
        <f t="shared" si="19"/>
        <v>0</v>
      </c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</row>
    <row r="70" spans="1:208" s="136" customFormat="1" ht="19.5">
      <c r="A70" s="348" t="s">
        <v>337</v>
      </c>
      <c r="B70" s="138">
        <v>0</v>
      </c>
      <c r="C70" s="138">
        <v>0</v>
      </c>
      <c r="D70" s="148"/>
      <c r="E70" s="148"/>
      <c r="F70" s="138"/>
      <c r="G70" s="138"/>
      <c r="H70" s="138"/>
      <c r="I70" s="148"/>
      <c r="J70" s="152"/>
      <c r="K70" s="152"/>
      <c r="L70" s="152"/>
      <c r="M70" s="152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5">
        <f t="shared" si="19"/>
        <v>0</v>
      </c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</row>
    <row r="71" spans="1:208" s="136" customFormat="1" ht="19.5">
      <c r="A71" s="348" t="s">
        <v>338</v>
      </c>
      <c r="B71" s="138">
        <v>0</v>
      </c>
      <c r="C71" s="138"/>
      <c r="D71" s="148"/>
      <c r="E71" s="148"/>
      <c r="F71" s="138"/>
      <c r="G71" s="138">
        <v>0</v>
      </c>
      <c r="H71" s="138"/>
      <c r="I71" s="148"/>
      <c r="J71" s="152"/>
      <c r="K71" s="152"/>
      <c r="L71" s="152"/>
      <c r="M71" s="152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35">
        <f t="shared" si="19"/>
        <v>0</v>
      </c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</row>
    <row r="72" spans="1:208" s="136" customFormat="1" ht="20.25" customHeight="1">
      <c r="A72" s="348" t="s">
        <v>340</v>
      </c>
      <c r="B72" s="138"/>
      <c r="C72" s="138"/>
      <c r="D72" s="148"/>
      <c r="E72" s="148"/>
      <c r="F72" s="138"/>
      <c r="G72" s="138"/>
      <c r="H72" s="138"/>
      <c r="I72" s="148"/>
      <c r="J72" s="152"/>
      <c r="K72" s="152"/>
      <c r="L72" s="152"/>
      <c r="M72" s="152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35">
        <f t="shared" si="19"/>
        <v>0</v>
      </c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DS72" s="143"/>
      <c r="DT72" s="143"/>
      <c r="DU72" s="143"/>
      <c r="DV72" s="143"/>
      <c r="DW72" s="143"/>
      <c r="DX72" s="143"/>
      <c r="DY72" s="143"/>
      <c r="DZ72" s="143"/>
      <c r="EA72" s="143"/>
      <c r="EB72" s="143"/>
      <c r="EC72" s="143"/>
      <c r="ED72" s="143"/>
      <c r="EE72" s="143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</row>
    <row r="73" spans="1:208" s="136" customFormat="1" ht="20.25" customHeight="1">
      <c r="A73" s="348" t="s">
        <v>341</v>
      </c>
      <c r="B73" s="138">
        <v>18080</v>
      </c>
      <c r="C73" s="138">
        <v>320</v>
      </c>
      <c r="D73" s="148">
        <v>7900</v>
      </c>
      <c r="E73" s="148"/>
      <c r="F73" s="138"/>
      <c r="G73" s="138"/>
      <c r="H73" s="138"/>
      <c r="I73" s="148"/>
      <c r="J73" s="152"/>
      <c r="K73" s="152">
        <v>0</v>
      </c>
      <c r="L73" s="152"/>
      <c r="M73" s="152">
        <v>1260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35">
        <f t="shared" si="19"/>
        <v>27560</v>
      </c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DS73" s="143"/>
      <c r="DT73" s="143"/>
      <c r="DU73" s="143"/>
      <c r="DV73" s="143"/>
      <c r="DW73" s="143"/>
      <c r="DX73" s="143"/>
      <c r="DY73" s="143"/>
      <c r="DZ73" s="143"/>
      <c r="EA73" s="143"/>
      <c r="EB73" s="143"/>
      <c r="EC73" s="143"/>
      <c r="ED73" s="143"/>
      <c r="EE73" s="143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</row>
    <row r="74" spans="1:208" s="136" customFormat="1" ht="19.5">
      <c r="A74" s="348" t="s">
        <v>342</v>
      </c>
      <c r="B74" s="138">
        <v>0</v>
      </c>
      <c r="C74" s="138">
        <v>0</v>
      </c>
      <c r="D74" s="148">
        <v>0</v>
      </c>
      <c r="E74" s="148"/>
      <c r="F74" s="138"/>
      <c r="G74" s="138"/>
      <c r="H74" s="148"/>
      <c r="I74" s="148"/>
      <c r="J74" s="152"/>
      <c r="K74" s="152"/>
      <c r="L74" s="152"/>
      <c r="M74" s="152">
        <v>0</v>
      </c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35">
        <f t="shared" si="19"/>
        <v>0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143"/>
      <c r="EE74" s="143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</row>
    <row r="75" spans="1:208" s="136" customFormat="1" ht="19.5">
      <c r="A75" s="348" t="s">
        <v>343</v>
      </c>
      <c r="B75" s="138"/>
      <c r="C75" s="138"/>
      <c r="D75" s="153"/>
      <c r="E75" s="153"/>
      <c r="F75" s="138"/>
      <c r="G75" s="138"/>
      <c r="H75" s="153"/>
      <c r="I75" s="153"/>
      <c r="J75" s="152"/>
      <c r="K75" s="152"/>
      <c r="L75" s="152"/>
      <c r="M75" s="152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35">
        <f t="shared" si="19"/>
        <v>0</v>
      </c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</row>
    <row r="76" spans="1:208" s="136" customFormat="1" ht="20.25" customHeight="1">
      <c r="A76" s="348" t="s">
        <v>344</v>
      </c>
      <c r="B76" s="138"/>
      <c r="C76" s="138"/>
      <c r="D76" s="153"/>
      <c r="E76" s="153"/>
      <c r="F76" s="138"/>
      <c r="G76" s="138"/>
      <c r="H76" s="153"/>
      <c r="I76" s="153"/>
      <c r="J76" s="152"/>
      <c r="K76" s="152"/>
      <c r="L76" s="152"/>
      <c r="M76" s="152"/>
      <c r="N76" s="153"/>
      <c r="O76" s="153"/>
      <c r="P76" s="153"/>
      <c r="Q76" s="153"/>
      <c r="R76" s="153"/>
      <c r="S76" s="153"/>
      <c r="T76" s="153"/>
      <c r="U76" s="153"/>
      <c r="V76" s="153">
        <v>0</v>
      </c>
      <c r="W76" s="153"/>
      <c r="X76" s="153"/>
      <c r="Y76" s="153"/>
      <c r="Z76" s="135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</row>
    <row r="77" spans="1:208" s="136" customFormat="1" ht="20.25" customHeight="1">
      <c r="A77" s="348" t="s">
        <v>345</v>
      </c>
      <c r="B77" s="138"/>
      <c r="C77" s="138"/>
      <c r="D77" s="153"/>
      <c r="E77" s="153"/>
      <c r="F77" s="138"/>
      <c r="G77" s="138"/>
      <c r="H77" s="153"/>
      <c r="I77" s="153"/>
      <c r="J77" s="152"/>
      <c r="K77" s="152"/>
      <c r="L77" s="152"/>
      <c r="M77" s="152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35">
        <f t="shared" si="19"/>
        <v>0</v>
      </c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/>
      <c r="GS77" s="143"/>
      <c r="GT77" s="143"/>
      <c r="GU77" s="143"/>
      <c r="GV77" s="143"/>
      <c r="GW77" s="143"/>
      <c r="GX77" s="143"/>
      <c r="GY77" s="143"/>
      <c r="GZ77" s="143"/>
    </row>
    <row r="78" spans="1:208" s="136" customFormat="1" ht="20.25" customHeight="1">
      <c r="A78" s="348" t="s">
        <v>346</v>
      </c>
      <c r="B78" s="138">
        <v>5778</v>
      </c>
      <c r="C78" s="138"/>
      <c r="D78" s="153"/>
      <c r="E78" s="153"/>
      <c r="F78" s="138"/>
      <c r="G78" s="138"/>
      <c r="H78" s="153"/>
      <c r="I78" s="153"/>
      <c r="J78" s="152"/>
      <c r="K78" s="152"/>
      <c r="L78" s="152"/>
      <c r="M78" s="152"/>
      <c r="N78" s="153"/>
      <c r="O78" s="153"/>
      <c r="P78" s="153"/>
      <c r="Q78" s="153"/>
      <c r="R78" s="153"/>
      <c r="S78" s="153">
        <v>0</v>
      </c>
      <c r="T78" s="153"/>
      <c r="U78" s="153"/>
      <c r="V78" s="153"/>
      <c r="W78" s="153"/>
      <c r="X78" s="153"/>
      <c r="Y78" s="153"/>
      <c r="Z78" s="135">
        <f t="shared" si="19"/>
        <v>5778</v>
      </c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</row>
    <row r="79" spans="1:208" s="136" customFormat="1" ht="20.25" customHeight="1">
      <c r="A79" s="348" t="s">
        <v>347</v>
      </c>
      <c r="B79" s="138">
        <v>0</v>
      </c>
      <c r="C79" s="138">
        <v>0</v>
      </c>
      <c r="D79" s="153"/>
      <c r="E79" s="153"/>
      <c r="F79" s="138"/>
      <c r="G79" s="138">
        <v>0</v>
      </c>
      <c r="H79" s="153">
        <v>0</v>
      </c>
      <c r="I79" s="153"/>
      <c r="J79" s="153"/>
      <c r="K79" s="153"/>
      <c r="L79" s="153"/>
      <c r="M79" s="152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35">
        <f t="shared" si="19"/>
        <v>0</v>
      </c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</row>
    <row r="80" spans="1:208" s="136" customFormat="1" ht="20.25" customHeight="1" thickBot="1">
      <c r="A80" s="349" t="s">
        <v>348</v>
      </c>
      <c r="B80" s="138"/>
      <c r="C80" s="138"/>
      <c r="D80" s="153"/>
      <c r="E80" s="153"/>
      <c r="F80" s="138">
        <v>0</v>
      </c>
      <c r="G80" s="138"/>
      <c r="H80" s="153"/>
      <c r="I80" s="153"/>
      <c r="J80" s="153"/>
      <c r="K80" s="153"/>
      <c r="L80" s="153"/>
      <c r="M80" s="152">
        <v>0</v>
      </c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>
        <v>20530</v>
      </c>
      <c r="Y80" s="153"/>
      <c r="Z80" s="135">
        <f t="shared" si="19"/>
        <v>20530</v>
      </c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</row>
    <row r="81" spans="1:208" s="136" customFormat="1" ht="20.25" customHeight="1">
      <c r="A81" s="356" t="s">
        <v>250</v>
      </c>
      <c r="B81" s="140">
        <f>SUM(B68:B80)</f>
        <v>23858</v>
      </c>
      <c r="C81" s="140">
        <f t="shared" ref="C81:Y81" si="20">SUM(C69:C80)</f>
        <v>320</v>
      </c>
      <c r="D81" s="140">
        <f t="shared" si="20"/>
        <v>7900</v>
      </c>
      <c r="E81" s="140">
        <f t="shared" si="20"/>
        <v>0</v>
      </c>
      <c r="F81" s="140">
        <f t="shared" si="20"/>
        <v>0</v>
      </c>
      <c r="G81" s="140">
        <f t="shared" si="20"/>
        <v>0</v>
      </c>
      <c r="H81" s="140">
        <f t="shared" si="20"/>
        <v>0</v>
      </c>
      <c r="I81" s="140">
        <f t="shared" si="20"/>
        <v>0</v>
      </c>
      <c r="J81" s="140">
        <f t="shared" si="20"/>
        <v>0</v>
      </c>
      <c r="K81" s="140">
        <f t="shared" si="20"/>
        <v>0</v>
      </c>
      <c r="L81" s="140">
        <f t="shared" si="20"/>
        <v>0</v>
      </c>
      <c r="M81" s="140">
        <f t="shared" si="20"/>
        <v>1260</v>
      </c>
      <c r="N81" s="140">
        <f t="shared" si="20"/>
        <v>0</v>
      </c>
      <c r="O81" s="140">
        <f t="shared" si="20"/>
        <v>0</v>
      </c>
      <c r="P81" s="140">
        <f t="shared" si="20"/>
        <v>0</v>
      </c>
      <c r="Q81" s="140">
        <f t="shared" si="20"/>
        <v>0</v>
      </c>
      <c r="R81" s="140">
        <f t="shared" si="20"/>
        <v>0</v>
      </c>
      <c r="S81" s="140">
        <f t="shared" si="20"/>
        <v>0</v>
      </c>
      <c r="T81" s="140">
        <f t="shared" si="20"/>
        <v>0</v>
      </c>
      <c r="U81" s="140">
        <f t="shared" si="20"/>
        <v>0</v>
      </c>
      <c r="V81" s="140">
        <f t="shared" si="20"/>
        <v>0</v>
      </c>
      <c r="W81" s="140">
        <f t="shared" si="20"/>
        <v>0</v>
      </c>
      <c r="X81" s="140">
        <f t="shared" si="20"/>
        <v>20530</v>
      </c>
      <c r="Y81" s="140">
        <f t="shared" si="20"/>
        <v>0</v>
      </c>
      <c r="Z81" s="142">
        <f t="shared" si="19"/>
        <v>53868</v>
      </c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</row>
    <row r="82" spans="1:208" s="136" customFormat="1" ht="20.25" customHeight="1" thickBot="1">
      <c r="A82" s="357" t="s">
        <v>251</v>
      </c>
      <c r="B82" s="139">
        <f t="shared" ref="B82:Y82" si="21">B81+B67</f>
        <v>116792</v>
      </c>
      <c r="C82" s="139">
        <f t="shared" si="21"/>
        <v>8454</v>
      </c>
      <c r="D82" s="139">
        <f t="shared" si="21"/>
        <v>20460</v>
      </c>
      <c r="E82" s="139">
        <f t="shared" si="21"/>
        <v>0</v>
      </c>
      <c r="F82" s="139">
        <f t="shared" si="21"/>
        <v>779727.6</v>
      </c>
      <c r="G82" s="139">
        <f t="shared" si="21"/>
        <v>0</v>
      </c>
      <c r="H82" s="139">
        <f t="shared" si="21"/>
        <v>0</v>
      </c>
      <c r="I82" s="139">
        <f t="shared" si="21"/>
        <v>0</v>
      </c>
      <c r="J82" s="139">
        <f t="shared" si="21"/>
        <v>0</v>
      </c>
      <c r="K82" s="139">
        <f t="shared" si="21"/>
        <v>0</v>
      </c>
      <c r="L82" s="139">
        <f t="shared" si="21"/>
        <v>0</v>
      </c>
      <c r="M82" s="139">
        <f t="shared" si="21"/>
        <v>3660</v>
      </c>
      <c r="N82" s="139">
        <f t="shared" si="21"/>
        <v>0</v>
      </c>
      <c r="O82" s="139">
        <f t="shared" si="21"/>
        <v>0</v>
      </c>
      <c r="P82" s="139">
        <f t="shared" si="21"/>
        <v>0</v>
      </c>
      <c r="Q82" s="139">
        <f t="shared" si="21"/>
        <v>0</v>
      </c>
      <c r="R82" s="139">
        <f t="shared" si="21"/>
        <v>0</v>
      </c>
      <c r="S82" s="139">
        <f t="shared" si="21"/>
        <v>0</v>
      </c>
      <c r="T82" s="139">
        <f t="shared" si="21"/>
        <v>0</v>
      </c>
      <c r="U82" s="139">
        <f t="shared" si="21"/>
        <v>0</v>
      </c>
      <c r="V82" s="139">
        <f t="shared" si="21"/>
        <v>0</v>
      </c>
      <c r="W82" s="139">
        <f t="shared" si="21"/>
        <v>0</v>
      </c>
      <c r="X82" s="139">
        <f t="shared" si="21"/>
        <v>20530</v>
      </c>
      <c r="Y82" s="139">
        <f t="shared" si="21"/>
        <v>0</v>
      </c>
      <c r="Z82" s="146">
        <f t="shared" si="19"/>
        <v>949623.6</v>
      </c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3"/>
      <c r="BF82" s="143"/>
      <c r="BG82" s="143"/>
      <c r="BH82" s="143"/>
      <c r="BI82" s="143"/>
      <c r="BJ82" s="143"/>
      <c r="BK82" s="143"/>
      <c r="BL82" s="143"/>
      <c r="BM82" s="143"/>
      <c r="BN82" s="143"/>
      <c r="BO82" s="143"/>
      <c r="BP82" s="143"/>
      <c r="BQ82" s="143"/>
      <c r="BR82" s="143"/>
      <c r="BS82" s="143"/>
      <c r="BT82" s="143"/>
      <c r="BU82" s="143"/>
      <c r="BV82" s="143"/>
      <c r="BW82" s="143"/>
      <c r="BX82" s="143"/>
      <c r="BY82" s="143"/>
      <c r="BZ82" s="143"/>
      <c r="CA82" s="143"/>
      <c r="CB82" s="143"/>
      <c r="CC82" s="143"/>
      <c r="CD82" s="143"/>
      <c r="CE82" s="143"/>
      <c r="CF82" s="143"/>
      <c r="CG82" s="143"/>
      <c r="CH82" s="143"/>
      <c r="CI82" s="143"/>
      <c r="CJ82" s="143"/>
      <c r="CK82" s="143"/>
      <c r="CL82" s="14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143"/>
      <c r="DM82" s="143"/>
      <c r="DN82" s="143"/>
      <c r="DO82" s="143"/>
      <c r="DP82" s="143"/>
      <c r="DQ82" s="143"/>
      <c r="DR82" s="143"/>
      <c r="DS82" s="143"/>
      <c r="DT82" s="143"/>
      <c r="DU82" s="143"/>
      <c r="DV82" s="143"/>
      <c r="DW82" s="143"/>
      <c r="DX82" s="143"/>
      <c r="DY82" s="143"/>
      <c r="DZ82" s="143"/>
      <c r="EA82" s="143"/>
      <c r="EB82" s="143"/>
      <c r="EC82" s="143"/>
      <c r="ED82" s="143"/>
      <c r="EE82" s="143"/>
      <c r="EF82" s="143"/>
      <c r="EG82" s="143"/>
      <c r="EH82" s="143"/>
      <c r="EI82" s="143"/>
      <c r="EJ82" s="143"/>
      <c r="EK82" s="143"/>
      <c r="EL82" s="143"/>
      <c r="EM82" s="143"/>
      <c r="EN82" s="143"/>
      <c r="EO82" s="143"/>
      <c r="EP82" s="143"/>
      <c r="EQ82" s="143"/>
      <c r="ER82" s="143"/>
      <c r="ES82" s="143"/>
      <c r="ET82" s="143"/>
      <c r="EU82" s="143"/>
      <c r="EV82" s="143"/>
      <c r="EW82" s="143"/>
      <c r="EX82" s="143"/>
      <c r="EY82" s="143"/>
      <c r="EZ82" s="143"/>
      <c r="FA82" s="143"/>
      <c r="FB82" s="143"/>
      <c r="FC82" s="143"/>
      <c r="FD82" s="143"/>
      <c r="FE82" s="143"/>
      <c r="FF82" s="143"/>
      <c r="FG82" s="143"/>
      <c r="FH82" s="143"/>
      <c r="FI82" s="143"/>
      <c r="FJ82" s="143"/>
      <c r="FK82" s="143"/>
      <c r="FL82" s="143"/>
      <c r="FM82" s="143"/>
      <c r="FN82" s="143"/>
      <c r="FO82" s="143"/>
      <c r="FP82" s="143"/>
      <c r="FQ82" s="143"/>
      <c r="FR82" s="143"/>
      <c r="FS82" s="143"/>
      <c r="FT82" s="143"/>
      <c r="FU82" s="143"/>
      <c r="FV82" s="143"/>
      <c r="FW82" s="143"/>
      <c r="FX82" s="143"/>
      <c r="FY82" s="143"/>
      <c r="FZ82" s="143"/>
      <c r="GA82" s="143"/>
      <c r="GB82" s="143"/>
      <c r="GC82" s="143"/>
      <c r="GD82" s="143"/>
      <c r="GE82" s="143"/>
      <c r="GF82" s="143"/>
      <c r="GG82" s="143"/>
      <c r="GH82" s="143"/>
      <c r="GI82" s="143"/>
      <c r="GJ82" s="143"/>
      <c r="GK82" s="143"/>
      <c r="GL82" s="143"/>
      <c r="GM82" s="143"/>
      <c r="GN82" s="143"/>
      <c r="GO82" s="143"/>
      <c r="GP82" s="143"/>
      <c r="GQ82" s="143"/>
      <c r="GR82" s="143"/>
      <c r="GS82" s="143"/>
      <c r="GT82" s="143"/>
      <c r="GU82" s="143"/>
      <c r="GV82" s="143"/>
      <c r="GW82" s="143"/>
      <c r="GX82" s="143"/>
      <c r="GY82" s="143"/>
      <c r="GZ82" s="143"/>
    </row>
    <row r="83" spans="1:208" s="143" customFormat="1" ht="20.25" customHeight="1">
      <c r="A83" s="170"/>
    </row>
    <row r="84" spans="1:208" s="143" customFormat="1" ht="20.25" customHeight="1">
      <c r="A84" s="170"/>
    </row>
    <row r="85" spans="1:208" s="143" customFormat="1" ht="20.25" customHeight="1">
      <c r="A85" s="170"/>
    </row>
    <row r="86" spans="1:208" s="143" customFormat="1" ht="20.25" customHeight="1">
      <c r="A86" s="170"/>
    </row>
    <row r="87" spans="1:208" ht="20.25" customHeight="1">
      <c r="A87" s="501" t="s">
        <v>210</v>
      </c>
      <c r="B87" s="501"/>
      <c r="C87" s="501"/>
      <c r="D87" s="501"/>
      <c r="E87" s="501"/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1"/>
      <c r="Q87" s="501"/>
      <c r="R87" s="501"/>
      <c r="S87" s="501"/>
      <c r="T87" s="501"/>
      <c r="U87" s="501"/>
      <c r="V87" s="501"/>
      <c r="W87" s="501"/>
      <c r="X87" s="501"/>
      <c r="Y87" s="501"/>
      <c r="Z87" s="501"/>
    </row>
    <row r="88" spans="1:208" ht="20.25" customHeight="1">
      <c r="A88" s="501" t="s">
        <v>211</v>
      </c>
      <c r="B88" s="501"/>
      <c r="C88" s="501"/>
      <c r="D88" s="501"/>
      <c r="E88" s="501"/>
      <c r="F88" s="501"/>
      <c r="G88" s="501"/>
      <c r="H88" s="501"/>
      <c r="I88" s="501"/>
      <c r="J88" s="501"/>
      <c r="K88" s="501"/>
      <c r="L88" s="501"/>
      <c r="M88" s="501"/>
      <c r="N88" s="501"/>
      <c r="O88" s="501"/>
      <c r="P88" s="501"/>
      <c r="Q88" s="501"/>
      <c r="R88" s="501"/>
      <c r="S88" s="501"/>
      <c r="T88" s="501"/>
      <c r="U88" s="501"/>
      <c r="V88" s="501"/>
      <c r="W88" s="501"/>
      <c r="X88" s="501"/>
      <c r="Y88" s="501"/>
      <c r="Z88" s="501"/>
    </row>
    <row r="89" spans="1:208" ht="20.25" customHeight="1" thickBot="1">
      <c r="A89" s="502" t="str">
        <f>A3</f>
        <v>วันที่  31  พฤษภาคม  2556</v>
      </c>
      <c r="B89" s="502"/>
      <c r="C89" s="502"/>
      <c r="D89" s="502"/>
      <c r="E89" s="502"/>
      <c r="F89" s="502"/>
      <c r="G89" s="502"/>
      <c r="H89" s="502"/>
      <c r="I89" s="502"/>
      <c r="J89" s="502"/>
      <c r="K89" s="502"/>
      <c r="L89" s="502"/>
      <c r="M89" s="502"/>
      <c r="N89" s="502"/>
      <c r="O89" s="502"/>
      <c r="P89" s="502"/>
      <c r="Q89" s="502"/>
      <c r="R89" s="502"/>
      <c r="S89" s="502"/>
      <c r="T89" s="502"/>
      <c r="U89" s="502"/>
      <c r="V89" s="502"/>
      <c r="W89" s="502"/>
      <c r="X89" s="502"/>
      <c r="Y89" s="502"/>
      <c r="Z89" s="502"/>
    </row>
    <row r="90" spans="1:208" ht="20.25" customHeight="1">
      <c r="A90" s="356" t="s">
        <v>212</v>
      </c>
      <c r="B90" s="504" t="s">
        <v>213</v>
      </c>
      <c r="C90" s="506"/>
      <c r="D90" s="504" t="s">
        <v>214</v>
      </c>
      <c r="E90" s="506"/>
      <c r="F90" s="504" t="s">
        <v>215</v>
      </c>
      <c r="G90" s="505"/>
      <c r="H90" s="506"/>
      <c r="I90" s="504" t="s">
        <v>216</v>
      </c>
      <c r="J90" s="506"/>
      <c r="K90" s="504" t="s">
        <v>217</v>
      </c>
      <c r="L90" s="506"/>
      <c r="M90" s="504" t="s">
        <v>218</v>
      </c>
      <c r="N90" s="505"/>
      <c r="O90" s="506"/>
      <c r="P90" s="504" t="s">
        <v>219</v>
      </c>
      <c r="Q90" s="506"/>
      <c r="R90" s="504" t="s">
        <v>220</v>
      </c>
      <c r="S90" s="505"/>
      <c r="T90" s="506"/>
      <c r="U90" s="129" t="s">
        <v>221</v>
      </c>
      <c r="V90" s="504" t="s">
        <v>222</v>
      </c>
      <c r="W90" s="506"/>
      <c r="X90" s="129" t="s">
        <v>223</v>
      </c>
      <c r="Y90" s="129" t="s">
        <v>224</v>
      </c>
      <c r="Z90" s="509" t="s">
        <v>55</v>
      </c>
    </row>
    <row r="91" spans="1:208" ht="20.25" customHeight="1" thickBot="1">
      <c r="A91" s="357" t="s">
        <v>225</v>
      </c>
      <c r="B91" s="131" t="s">
        <v>226</v>
      </c>
      <c r="C91" s="131" t="s">
        <v>227</v>
      </c>
      <c r="D91" s="131" t="s">
        <v>228</v>
      </c>
      <c r="E91" s="131" t="s">
        <v>229</v>
      </c>
      <c r="F91" s="131" t="s">
        <v>230</v>
      </c>
      <c r="G91" s="131" t="s">
        <v>231</v>
      </c>
      <c r="H91" s="131" t="s">
        <v>232</v>
      </c>
      <c r="I91" s="131" t="s">
        <v>233</v>
      </c>
      <c r="J91" s="131" t="s">
        <v>234</v>
      </c>
      <c r="K91" s="131" t="s">
        <v>235</v>
      </c>
      <c r="L91" s="131" t="s">
        <v>236</v>
      </c>
      <c r="M91" s="132" t="s">
        <v>237</v>
      </c>
      <c r="N91" s="131" t="s">
        <v>238</v>
      </c>
      <c r="O91" s="131" t="s">
        <v>239</v>
      </c>
      <c r="P91" s="131" t="s">
        <v>240</v>
      </c>
      <c r="Q91" s="131" t="s">
        <v>241</v>
      </c>
      <c r="R91" s="131" t="s">
        <v>242</v>
      </c>
      <c r="S91" s="131" t="s">
        <v>243</v>
      </c>
      <c r="T91" s="131" t="s">
        <v>244</v>
      </c>
      <c r="U91" s="131" t="s">
        <v>245</v>
      </c>
      <c r="V91" s="131" t="s">
        <v>246</v>
      </c>
      <c r="W91" s="131" t="s">
        <v>247</v>
      </c>
      <c r="X91" s="131" t="s">
        <v>248</v>
      </c>
      <c r="Y91" s="131" t="s">
        <v>249</v>
      </c>
      <c r="Z91" s="510"/>
    </row>
    <row r="92" spans="1:208" ht="20.25" customHeight="1">
      <c r="A92" s="360" t="s">
        <v>56</v>
      </c>
      <c r="B92" s="133">
        <v>85232.94</v>
      </c>
      <c r="C92" s="133">
        <v>752</v>
      </c>
      <c r="D92" s="133"/>
      <c r="E92" s="133">
        <v>964.07</v>
      </c>
      <c r="F92" s="133">
        <v>2133.7600000000002</v>
      </c>
      <c r="G92" s="133"/>
      <c r="H92" s="133"/>
      <c r="I92" s="133"/>
      <c r="J92" s="133"/>
      <c r="K92" s="133"/>
      <c r="L92" s="133"/>
      <c r="M92" s="133">
        <v>0</v>
      </c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>
        <v>352494.74</v>
      </c>
      <c r="Y92" s="133">
        <v>0</v>
      </c>
      <c r="Z92" s="154">
        <f>SUM(B92:Y92)</f>
        <v>441577.51</v>
      </c>
    </row>
    <row r="93" spans="1:208" ht="20.25" customHeight="1">
      <c r="A93" s="359">
        <v>534000</v>
      </c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55">
        <f>SUM(B93:Y93)</f>
        <v>0</v>
      </c>
    </row>
    <row r="94" spans="1:208" ht="20.25" customHeight="1">
      <c r="A94" s="343" t="s">
        <v>350</v>
      </c>
      <c r="B94" s="136">
        <v>10540.93</v>
      </c>
      <c r="C94" s="136"/>
      <c r="D94" s="136"/>
      <c r="E94" s="136"/>
      <c r="F94" s="136">
        <v>0</v>
      </c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>
        <v>53139.11</v>
      </c>
      <c r="Y94" s="136"/>
      <c r="Z94" s="145">
        <f>SUM(B94:Y94)</f>
        <v>63680.04</v>
      </c>
    </row>
    <row r="95" spans="1:208" ht="20.25" customHeight="1">
      <c r="A95" s="345" t="s">
        <v>351</v>
      </c>
      <c r="B95" s="136">
        <v>141.29</v>
      </c>
      <c r="C95" s="136"/>
      <c r="D95" s="136"/>
      <c r="E95" s="136">
        <v>0</v>
      </c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45">
        <f>SUM(B95:Y95)</f>
        <v>141.29</v>
      </c>
    </row>
    <row r="96" spans="1:208" ht="20.25" customHeight="1">
      <c r="A96" s="345" t="s">
        <v>352</v>
      </c>
      <c r="B96" s="133">
        <v>0</v>
      </c>
      <c r="C96" s="133">
        <v>1831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6"/>
      <c r="Y96" s="136"/>
      <c r="Z96" s="145">
        <f>SUM(B96:Y96)</f>
        <v>1831</v>
      </c>
    </row>
    <row r="97" spans="1:26" ht="20.25" customHeight="1">
      <c r="A97" s="345" t="s">
        <v>353</v>
      </c>
      <c r="B97" s="133">
        <v>0</v>
      </c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8"/>
      <c r="Y97" s="138"/>
      <c r="Z97" s="156"/>
    </row>
    <row r="98" spans="1:26" ht="20.25" customHeight="1" thickBot="1">
      <c r="A98" s="350">
        <v>340800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9"/>
      <c r="Y98" s="139"/>
      <c r="Z98" s="157">
        <f>SUM(B98:Y98)</f>
        <v>0</v>
      </c>
    </row>
    <row r="99" spans="1:26" ht="20.25" customHeight="1">
      <c r="A99" s="356" t="s">
        <v>250</v>
      </c>
      <c r="B99" s="140">
        <f>SUM(B94:B98)</f>
        <v>10682.220000000001</v>
      </c>
      <c r="C99" s="140">
        <f>SUM(C94:C96)</f>
        <v>1831</v>
      </c>
      <c r="D99" s="140">
        <f>SUM(D94:D96)</f>
        <v>0</v>
      </c>
      <c r="E99" s="140">
        <f>SUM(E93:E98)</f>
        <v>0</v>
      </c>
      <c r="F99" s="140">
        <f t="shared" ref="F99:V99" si="22">SUM(F94:F96)</f>
        <v>0</v>
      </c>
      <c r="G99" s="140">
        <f t="shared" si="22"/>
        <v>0</v>
      </c>
      <c r="H99" s="140">
        <f t="shared" si="22"/>
        <v>0</v>
      </c>
      <c r="I99" s="140">
        <f t="shared" si="22"/>
        <v>0</v>
      </c>
      <c r="J99" s="140">
        <f t="shared" si="22"/>
        <v>0</v>
      </c>
      <c r="K99" s="140">
        <f t="shared" si="22"/>
        <v>0</v>
      </c>
      <c r="L99" s="140">
        <f t="shared" si="22"/>
        <v>0</v>
      </c>
      <c r="M99" s="140">
        <f t="shared" si="22"/>
        <v>0</v>
      </c>
      <c r="N99" s="140">
        <f t="shared" si="22"/>
        <v>0</v>
      </c>
      <c r="O99" s="140">
        <f t="shared" si="22"/>
        <v>0</v>
      </c>
      <c r="P99" s="140">
        <f t="shared" si="22"/>
        <v>0</v>
      </c>
      <c r="Q99" s="140">
        <f t="shared" si="22"/>
        <v>0</v>
      </c>
      <c r="R99" s="140">
        <f t="shared" si="22"/>
        <v>0</v>
      </c>
      <c r="S99" s="140">
        <f t="shared" si="22"/>
        <v>0</v>
      </c>
      <c r="T99" s="140">
        <f t="shared" si="22"/>
        <v>0</v>
      </c>
      <c r="U99" s="140">
        <f t="shared" si="22"/>
        <v>0</v>
      </c>
      <c r="V99" s="140">
        <f t="shared" si="22"/>
        <v>0</v>
      </c>
      <c r="W99" s="140"/>
      <c r="X99" s="140">
        <f>SUM(X94:X98)</f>
        <v>53139.11</v>
      </c>
      <c r="Y99" s="140"/>
      <c r="Z99" s="158">
        <f>SUM(B99:Y99)</f>
        <v>65652.33</v>
      </c>
    </row>
    <row r="100" spans="1:26" ht="20.25" customHeight="1" thickBot="1">
      <c r="A100" s="357" t="s">
        <v>251</v>
      </c>
      <c r="B100" s="139">
        <f t="shared" ref="B100:Z100" si="23">B92+B99</f>
        <v>95915.16</v>
      </c>
      <c r="C100" s="139">
        <f t="shared" si="23"/>
        <v>2583</v>
      </c>
      <c r="D100" s="139">
        <f t="shared" si="23"/>
        <v>0</v>
      </c>
      <c r="E100" s="139">
        <f t="shared" si="23"/>
        <v>964.07</v>
      </c>
      <c r="F100" s="139">
        <f t="shared" si="23"/>
        <v>2133.7600000000002</v>
      </c>
      <c r="G100" s="139">
        <f t="shared" si="23"/>
        <v>0</v>
      </c>
      <c r="H100" s="139">
        <f t="shared" si="23"/>
        <v>0</v>
      </c>
      <c r="I100" s="139">
        <f t="shared" si="23"/>
        <v>0</v>
      </c>
      <c r="J100" s="139">
        <f t="shared" si="23"/>
        <v>0</v>
      </c>
      <c r="K100" s="139">
        <f t="shared" si="23"/>
        <v>0</v>
      </c>
      <c r="L100" s="139">
        <f t="shared" si="23"/>
        <v>0</v>
      </c>
      <c r="M100" s="139">
        <f t="shared" si="23"/>
        <v>0</v>
      </c>
      <c r="N100" s="139">
        <f t="shared" si="23"/>
        <v>0</v>
      </c>
      <c r="O100" s="139">
        <f t="shared" si="23"/>
        <v>0</v>
      </c>
      <c r="P100" s="139">
        <f t="shared" si="23"/>
        <v>0</v>
      </c>
      <c r="Q100" s="139">
        <f t="shared" si="23"/>
        <v>0</v>
      </c>
      <c r="R100" s="139">
        <f t="shared" si="23"/>
        <v>0</v>
      </c>
      <c r="S100" s="139">
        <f t="shared" si="23"/>
        <v>0</v>
      </c>
      <c r="T100" s="139">
        <f t="shared" si="23"/>
        <v>0</v>
      </c>
      <c r="U100" s="139">
        <f t="shared" si="23"/>
        <v>0</v>
      </c>
      <c r="V100" s="139">
        <f t="shared" si="23"/>
        <v>0</v>
      </c>
      <c r="W100" s="139">
        <f t="shared" si="23"/>
        <v>0</v>
      </c>
      <c r="X100" s="139">
        <f t="shared" si="23"/>
        <v>405633.85</v>
      </c>
      <c r="Y100" s="139">
        <f t="shared" si="23"/>
        <v>0</v>
      </c>
      <c r="Z100" s="146">
        <f t="shared" si="23"/>
        <v>507229.84</v>
      </c>
    </row>
    <row r="101" spans="1:26" ht="20.25" customHeight="1">
      <c r="A101" s="366" t="s">
        <v>56</v>
      </c>
      <c r="B101" s="133">
        <v>43122.07</v>
      </c>
      <c r="C101" s="133">
        <v>16300</v>
      </c>
      <c r="D101" s="133"/>
      <c r="E101" s="133"/>
      <c r="F101" s="133"/>
      <c r="G101" s="133"/>
      <c r="H101" s="133"/>
      <c r="I101" s="133"/>
      <c r="J101" s="133"/>
      <c r="K101" s="133"/>
      <c r="L101" s="133"/>
      <c r="M101" s="133">
        <v>5350</v>
      </c>
      <c r="N101" s="133"/>
      <c r="O101" s="133"/>
      <c r="P101" s="133"/>
      <c r="Q101" s="133"/>
      <c r="R101" s="133">
        <v>0</v>
      </c>
      <c r="S101" s="133">
        <v>0</v>
      </c>
      <c r="T101" s="133">
        <v>0</v>
      </c>
      <c r="U101" s="133">
        <v>0</v>
      </c>
      <c r="V101" s="133">
        <v>0</v>
      </c>
      <c r="W101" s="133">
        <v>0</v>
      </c>
      <c r="X101" s="133">
        <v>0</v>
      </c>
      <c r="Y101" s="133">
        <v>0</v>
      </c>
      <c r="Z101" s="155">
        <f t="shared" ref="Z101:Z108" si="24">SUM(B101:Y101)</f>
        <v>64772.07</v>
      </c>
    </row>
    <row r="102" spans="1:26" ht="20.25" customHeight="1">
      <c r="A102" s="359">
        <v>541000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55">
        <f t="shared" si="24"/>
        <v>0</v>
      </c>
    </row>
    <row r="103" spans="1:26" ht="20.25" customHeight="1">
      <c r="A103" s="346" t="s">
        <v>356</v>
      </c>
      <c r="B103" s="136">
        <v>0</v>
      </c>
      <c r="C103" s="136">
        <v>0</v>
      </c>
      <c r="D103" s="136"/>
      <c r="E103" s="136"/>
      <c r="F103" s="136"/>
      <c r="G103" s="136"/>
      <c r="H103" s="136"/>
      <c r="I103" s="136"/>
      <c r="J103" s="136"/>
      <c r="K103" s="136"/>
      <c r="L103" s="136"/>
      <c r="M103" s="136">
        <f>16670+23200</f>
        <v>39870</v>
      </c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45">
        <f t="shared" si="24"/>
        <v>39870</v>
      </c>
    </row>
    <row r="104" spans="1:26" ht="20.25" customHeight="1">
      <c r="A104" s="348" t="s">
        <v>357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>
        <v>0</v>
      </c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8"/>
      <c r="Y104" s="133"/>
      <c r="Z104" s="145">
        <f t="shared" si="24"/>
        <v>0</v>
      </c>
    </row>
    <row r="105" spans="1:26" ht="20.25" customHeight="1">
      <c r="A105" s="348" t="s">
        <v>358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8"/>
      <c r="Y105" s="133"/>
      <c r="Z105" s="145">
        <f t="shared" si="24"/>
        <v>0</v>
      </c>
    </row>
    <row r="106" spans="1:26" ht="20.25" customHeight="1">
      <c r="A106" s="348" t="s">
        <v>359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>
        <v>0</v>
      </c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8"/>
      <c r="Y106" s="133"/>
      <c r="Z106" s="145">
        <f t="shared" si="24"/>
        <v>0</v>
      </c>
    </row>
    <row r="107" spans="1:26" ht="20.25" customHeight="1">
      <c r="A107" s="348" t="s">
        <v>360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>
        <v>44000</v>
      </c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6"/>
      <c r="Y107" s="136"/>
      <c r="Z107" s="145">
        <f t="shared" si="24"/>
        <v>44000</v>
      </c>
    </row>
    <row r="108" spans="1:26" ht="20.25" customHeight="1" thickBot="1">
      <c r="A108" s="349" t="s">
        <v>361</v>
      </c>
      <c r="B108" s="133">
        <v>0</v>
      </c>
      <c r="C108" s="133"/>
      <c r="D108" s="133">
        <v>26000</v>
      </c>
      <c r="E108" s="133"/>
      <c r="F108" s="133"/>
      <c r="G108" s="133"/>
      <c r="H108" s="133"/>
      <c r="I108" s="133"/>
      <c r="J108" s="133"/>
      <c r="K108" s="133"/>
      <c r="L108" s="133"/>
      <c r="M108" s="133">
        <v>0</v>
      </c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9"/>
      <c r="Y108" s="139"/>
      <c r="Z108" s="145">
        <f t="shared" si="24"/>
        <v>26000</v>
      </c>
    </row>
    <row r="109" spans="1:26" ht="20.25" customHeight="1">
      <c r="A109" s="356" t="s">
        <v>250</v>
      </c>
      <c r="B109" s="140">
        <f t="shared" ref="B109:Z109" si="25">SUM(B102:B108)</f>
        <v>0</v>
      </c>
      <c r="C109" s="140">
        <f t="shared" si="25"/>
        <v>0</v>
      </c>
      <c r="D109" s="140">
        <f t="shared" si="25"/>
        <v>26000</v>
      </c>
      <c r="E109" s="140">
        <f t="shared" si="25"/>
        <v>0</v>
      </c>
      <c r="F109" s="140">
        <f t="shared" si="25"/>
        <v>0</v>
      </c>
      <c r="G109" s="140">
        <f t="shared" si="25"/>
        <v>0</v>
      </c>
      <c r="H109" s="140">
        <f t="shared" si="25"/>
        <v>0</v>
      </c>
      <c r="I109" s="140">
        <f t="shared" si="25"/>
        <v>0</v>
      </c>
      <c r="J109" s="140">
        <f t="shared" si="25"/>
        <v>0</v>
      </c>
      <c r="K109" s="140">
        <f t="shared" si="25"/>
        <v>0</v>
      </c>
      <c r="L109" s="140">
        <f t="shared" si="25"/>
        <v>0</v>
      </c>
      <c r="M109" s="140">
        <f t="shared" si="25"/>
        <v>83870</v>
      </c>
      <c r="N109" s="140">
        <f t="shared" si="25"/>
        <v>0</v>
      </c>
      <c r="O109" s="140">
        <f t="shared" si="25"/>
        <v>0</v>
      </c>
      <c r="P109" s="140">
        <f t="shared" si="25"/>
        <v>0</v>
      </c>
      <c r="Q109" s="140">
        <f t="shared" si="25"/>
        <v>0</v>
      </c>
      <c r="R109" s="140">
        <f t="shared" si="25"/>
        <v>0</v>
      </c>
      <c r="S109" s="140">
        <f t="shared" si="25"/>
        <v>0</v>
      </c>
      <c r="T109" s="140">
        <f t="shared" si="25"/>
        <v>0</v>
      </c>
      <c r="U109" s="140">
        <f t="shared" si="25"/>
        <v>0</v>
      </c>
      <c r="V109" s="140">
        <f t="shared" si="25"/>
        <v>0</v>
      </c>
      <c r="W109" s="140">
        <f t="shared" si="25"/>
        <v>0</v>
      </c>
      <c r="X109" s="140">
        <f t="shared" si="25"/>
        <v>0</v>
      </c>
      <c r="Y109" s="140">
        <f t="shared" si="25"/>
        <v>0</v>
      </c>
      <c r="Z109" s="142">
        <f t="shared" si="25"/>
        <v>109870</v>
      </c>
    </row>
    <row r="110" spans="1:26" ht="20.25" customHeight="1" thickBot="1">
      <c r="A110" s="357" t="s">
        <v>251</v>
      </c>
      <c r="B110" s="139">
        <f t="shared" ref="B110:Z110" si="26">B101+B109</f>
        <v>43122.07</v>
      </c>
      <c r="C110" s="139">
        <f t="shared" si="26"/>
        <v>16300</v>
      </c>
      <c r="D110" s="139">
        <f t="shared" si="26"/>
        <v>26000</v>
      </c>
      <c r="E110" s="139">
        <f t="shared" si="26"/>
        <v>0</v>
      </c>
      <c r="F110" s="139">
        <f t="shared" si="26"/>
        <v>0</v>
      </c>
      <c r="G110" s="139">
        <f t="shared" si="26"/>
        <v>0</v>
      </c>
      <c r="H110" s="139">
        <f t="shared" si="26"/>
        <v>0</v>
      </c>
      <c r="I110" s="139">
        <f t="shared" si="26"/>
        <v>0</v>
      </c>
      <c r="J110" s="139">
        <f t="shared" si="26"/>
        <v>0</v>
      </c>
      <c r="K110" s="139">
        <f t="shared" si="26"/>
        <v>0</v>
      </c>
      <c r="L110" s="139">
        <f t="shared" si="26"/>
        <v>0</v>
      </c>
      <c r="M110" s="139">
        <f t="shared" si="26"/>
        <v>89220</v>
      </c>
      <c r="N110" s="139">
        <f t="shared" si="26"/>
        <v>0</v>
      </c>
      <c r="O110" s="139">
        <f t="shared" si="26"/>
        <v>0</v>
      </c>
      <c r="P110" s="139">
        <f t="shared" si="26"/>
        <v>0</v>
      </c>
      <c r="Q110" s="139">
        <f t="shared" si="26"/>
        <v>0</v>
      </c>
      <c r="R110" s="139">
        <f t="shared" si="26"/>
        <v>0</v>
      </c>
      <c r="S110" s="139">
        <f t="shared" si="26"/>
        <v>0</v>
      </c>
      <c r="T110" s="139">
        <f t="shared" si="26"/>
        <v>0</v>
      </c>
      <c r="U110" s="139">
        <f t="shared" si="26"/>
        <v>0</v>
      </c>
      <c r="V110" s="139">
        <f t="shared" si="26"/>
        <v>0</v>
      </c>
      <c r="W110" s="139">
        <f t="shared" si="26"/>
        <v>0</v>
      </c>
      <c r="X110" s="139">
        <f t="shared" si="26"/>
        <v>0</v>
      </c>
      <c r="Y110" s="139">
        <f t="shared" si="26"/>
        <v>0</v>
      </c>
      <c r="Z110" s="146">
        <f t="shared" si="26"/>
        <v>174642.07</v>
      </c>
    </row>
    <row r="111" spans="1:26" ht="20.25" customHeight="1" thickBot="1">
      <c r="A111" s="366" t="s">
        <v>56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>
        <v>367300</v>
      </c>
      <c r="N111" s="133"/>
      <c r="O111" s="133"/>
      <c r="P111" s="133"/>
      <c r="Q111" s="133"/>
      <c r="R111" s="133">
        <v>0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49">
        <v>0</v>
      </c>
      <c r="Y111" s="133">
        <v>0</v>
      </c>
      <c r="Z111" s="146">
        <f>SUM(B111:Y111)</f>
        <v>367300</v>
      </c>
    </row>
    <row r="112" spans="1:26" ht="20.25" customHeight="1">
      <c r="A112" s="359">
        <v>542000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45">
        <f t="shared" ref="Z112:Z116" si="27">SUM(B112:Y112)</f>
        <v>0</v>
      </c>
    </row>
    <row r="113" spans="1:26" ht="20.25" customHeight="1">
      <c r="A113" s="351">
        <v>420600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45">
        <f t="shared" si="27"/>
        <v>0</v>
      </c>
    </row>
    <row r="114" spans="1:26" ht="20.25" customHeight="1">
      <c r="A114" s="345" t="s">
        <v>363</v>
      </c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45">
        <f t="shared" si="27"/>
        <v>0</v>
      </c>
    </row>
    <row r="115" spans="1:26" ht="20.25" customHeight="1" thickBot="1">
      <c r="A115" s="352" t="s">
        <v>121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>
        <v>18218</v>
      </c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8"/>
      <c r="Y115" s="133"/>
      <c r="Z115" s="145">
        <f t="shared" si="27"/>
        <v>18218</v>
      </c>
    </row>
    <row r="116" spans="1:26" ht="20.25" customHeight="1">
      <c r="A116" s="356" t="s">
        <v>250</v>
      </c>
      <c r="B116" s="140">
        <f t="shared" ref="B116:Y116" si="28">SUM(B113:B115)</f>
        <v>0</v>
      </c>
      <c r="C116" s="140">
        <f t="shared" si="28"/>
        <v>0</v>
      </c>
      <c r="D116" s="140">
        <f t="shared" si="28"/>
        <v>0</v>
      </c>
      <c r="E116" s="140">
        <f t="shared" si="28"/>
        <v>0</v>
      </c>
      <c r="F116" s="140">
        <f t="shared" si="28"/>
        <v>0</v>
      </c>
      <c r="G116" s="140">
        <f t="shared" si="28"/>
        <v>0</v>
      </c>
      <c r="H116" s="140">
        <f t="shared" si="28"/>
        <v>0</v>
      </c>
      <c r="I116" s="140">
        <f t="shared" si="28"/>
        <v>0</v>
      </c>
      <c r="J116" s="140">
        <f t="shared" si="28"/>
        <v>0</v>
      </c>
      <c r="K116" s="140">
        <f t="shared" si="28"/>
        <v>0</v>
      </c>
      <c r="L116" s="140">
        <f t="shared" si="28"/>
        <v>0</v>
      </c>
      <c r="M116" s="140">
        <f t="shared" si="28"/>
        <v>18218</v>
      </c>
      <c r="N116" s="140">
        <f t="shared" si="28"/>
        <v>0</v>
      </c>
      <c r="O116" s="140">
        <f t="shared" si="28"/>
        <v>0</v>
      </c>
      <c r="P116" s="140">
        <f t="shared" si="28"/>
        <v>0</v>
      </c>
      <c r="Q116" s="140">
        <f t="shared" si="28"/>
        <v>0</v>
      </c>
      <c r="R116" s="140">
        <f t="shared" si="28"/>
        <v>0</v>
      </c>
      <c r="S116" s="140">
        <f t="shared" si="28"/>
        <v>0</v>
      </c>
      <c r="T116" s="140">
        <f t="shared" si="28"/>
        <v>0</v>
      </c>
      <c r="U116" s="140">
        <f t="shared" si="28"/>
        <v>0</v>
      </c>
      <c r="V116" s="140">
        <f t="shared" si="28"/>
        <v>0</v>
      </c>
      <c r="W116" s="140">
        <f t="shared" si="28"/>
        <v>0</v>
      </c>
      <c r="X116" s="140">
        <f t="shared" si="28"/>
        <v>0</v>
      </c>
      <c r="Y116" s="140">
        <f t="shared" si="28"/>
        <v>0</v>
      </c>
      <c r="Z116" s="158">
        <f t="shared" si="27"/>
        <v>18218</v>
      </c>
    </row>
    <row r="117" spans="1:26" ht="20.25" customHeight="1" thickBot="1">
      <c r="A117" s="357" t="s">
        <v>251</v>
      </c>
      <c r="B117" s="139">
        <f t="shared" ref="B117:Z117" si="29">B111+B116</f>
        <v>0</v>
      </c>
      <c r="C117" s="139">
        <f t="shared" si="29"/>
        <v>0</v>
      </c>
      <c r="D117" s="139">
        <f t="shared" si="29"/>
        <v>0</v>
      </c>
      <c r="E117" s="139">
        <f t="shared" si="29"/>
        <v>0</v>
      </c>
      <c r="F117" s="139">
        <f t="shared" si="29"/>
        <v>0</v>
      </c>
      <c r="G117" s="139">
        <f t="shared" si="29"/>
        <v>0</v>
      </c>
      <c r="H117" s="139">
        <f t="shared" si="29"/>
        <v>0</v>
      </c>
      <c r="I117" s="139">
        <f t="shared" si="29"/>
        <v>0</v>
      </c>
      <c r="J117" s="139">
        <f t="shared" si="29"/>
        <v>0</v>
      </c>
      <c r="K117" s="139">
        <f t="shared" si="29"/>
        <v>0</v>
      </c>
      <c r="L117" s="139">
        <f t="shared" si="29"/>
        <v>0</v>
      </c>
      <c r="M117" s="139">
        <f t="shared" si="29"/>
        <v>385518</v>
      </c>
      <c r="N117" s="139">
        <f t="shared" si="29"/>
        <v>0</v>
      </c>
      <c r="O117" s="139">
        <f t="shared" si="29"/>
        <v>0</v>
      </c>
      <c r="P117" s="139">
        <f t="shared" si="29"/>
        <v>0</v>
      </c>
      <c r="Q117" s="139">
        <f t="shared" si="29"/>
        <v>0</v>
      </c>
      <c r="R117" s="139">
        <f t="shared" si="29"/>
        <v>0</v>
      </c>
      <c r="S117" s="139">
        <f t="shared" si="29"/>
        <v>0</v>
      </c>
      <c r="T117" s="139">
        <f t="shared" si="29"/>
        <v>0</v>
      </c>
      <c r="U117" s="139">
        <f t="shared" si="29"/>
        <v>0</v>
      </c>
      <c r="V117" s="139">
        <f t="shared" si="29"/>
        <v>0</v>
      </c>
      <c r="W117" s="139">
        <f t="shared" si="29"/>
        <v>0</v>
      </c>
      <c r="X117" s="139">
        <f t="shared" si="29"/>
        <v>0</v>
      </c>
      <c r="Y117" s="139">
        <f t="shared" si="29"/>
        <v>0</v>
      </c>
      <c r="Z117" s="146">
        <f t="shared" si="29"/>
        <v>385518</v>
      </c>
    </row>
    <row r="130" spans="1:26" ht="20.25" customHeight="1">
      <c r="A130" s="501" t="s">
        <v>210</v>
      </c>
      <c r="B130" s="501"/>
      <c r="C130" s="501"/>
      <c r="D130" s="501"/>
      <c r="E130" s="501"/>
      <c r="F130" s="501"/>
      <c r="G130" s="501"/>
      <c r="H130" s="501"/>
      <c r="I130" s="501"/>
      <c r="J130" s="501"/>
      <c r="K130" s="501"/>
      <c r="L130" s="501"/>
      <c r="M130" s="501"/>
      <c r="N130" s="501"/>
      <c r="O130" s="501"/>
      <c r="P130" s="501"/>
      <c r="Q130" s="501"/>
      <c r="R130" s="501"/>
      <c r="S130" s="501"/>
      <c r="T130" s="501"/>
      <c r="U130" s="501"/>
      <c r="V130" s="501"/>
      <c r="W130" s="501"/>
      <c r="X130" s="501"/>
      <c r="Y130" s="501"/>
      <c r="Z130" s="501"/>
    </row>
    <row r="131" spans="1:26" ht="20.25" customHeight="1">
      <c r="A131" s="501" t="s">
        <v>211</v>
      </c>
      <c r="B131" s="501"/>
      <c r="C131" s="501"/>
      <c r="D131" s="501"/>
      <c r="E131" s="501"/>
      <c r="F131" s="501"/>
      <c r="G131" s="501"/>
      <c r="H131" s="501"/>
      <c r="I131" s="501"/>
      <c r="J131" s="501"/>
      <c r="K131" s="501"/>
      <c r="L131" s="501"/>
      <c r="M131" s="501"/>
      <c r="N131" s="501"/>
      <c r="O131" s="501"/>
      <c r="P131" s="501"/>
      <c r="Q131" s="501"/>
      <c r="R131" s="501"/>
      <c r="S131" s="501"/>
      <c r="T131" s="501"/>
      <c r="U131" s="501"/>
      <c r="V131" s="501"/>
      <c r="W131" s="501"/>
      <c r="X131" s="501"/>
      <c r="Y131" s="501"/>
      <c r="Z131" s="501"/>
    </row>
    <row r="132" spans="1:26" ht="20.25" customHeight="1" thickBot="1">
      <c r="A132" s="502" t="str">
        <f>A3</f>
        <v>วันที่  31  พฤษภาคม  2556</v>
      </c>
      <c r="B132" s="502"/>
      <c r="C132" s="502"/>
      <c r="D132" s="502"/>
      <c r="E132" s="502"/>
      <c r="F132" s="502"/>
      <c r="G132" s="502"/>
      <c r="H132" s="502"/>
      <c r="I132" s="502"/>
      <c r="J132" s="502"/>
      <c r="K132" s="502"/>
      <c r="L132" s="502"/>
      <c r="M132" s="502"/>
      <c r="N132" s="502"/>
      <c r="O132" s="502"/>
      <c r="P132" s="502"/>
      <c r="Q132" s="502"/>
      <c r="R132" s="502"/>
      <c r="S132" s="502"/>
      <c r="T132" s="502"/>
      <c r="U132" s="502"/>
      <c r="V132" s="502"/>
      <c r="W132" s="502"/>
      <c r="X132" s="502"/>
      <c r="Y132" s="502"/>
      <c r="Z132" s="502"/>
    </row>
    <row r="133" spans="1:26" ht="20.25" customHeight="1">
      <c r="A133" s="356" t="s">
        <v>212</v>
      </c>
      <c r="B133" s="503" t="s">
        <v>213</v>
      </c>
      <c r="C133" s="503"/>
      <c r="D133" s="503" t="s">
        <v>214</v>
      </c>
      <c r="E133" s="503"/>
      <c r="F133" s="503" t="s">
        <v>215</v>
      </c>
      <c r="G133" s="503"/>
      <c r="H133" s="503"/>
      <c r="I133" s="503" t="s">
        <v>216</v>
      </c>
      <c r="J133" s="503"/>
      <c r="K133" s="503" t="s">
        <v>217</v>
      </c>
      <c r="L133" s="503"/>
      <c r="M133" s="504" t="s">
        <v>218</v>
      </c>
      <c r="N133" s="505"/>
      <c r="O133" s="506"/>
      <c r="P133" s="503" t="s">
        <v>219</v>
      </c>
      <c r="Q133" s="503"/>
      <c r="R133" s="503" t="s">
        <v>220</v>
      </c>
      <c r="S133" s="503"/>
      <c r="T133" s="503"/>
      <c r="U133" s="129" t="s">
        <v>221</v>
      </c>
      <c r="V133" s="503" t="s">
        <v>222</v>
      </c>
      <c r="W133" s="503"/>
      <c r="X133" s="129" t="s">
        <v>223</v>
      </c>
      <c r="Y133" s="129" t="s">
        <v>224</v>
      </c>
      <c r="Z133" s="507" t="s">
        <v>55</v>
      </c>
    </row>
    <row r="134" spans="1:26" ht="20.25" customHeight="1" thickBot="1">
      <c r="A134" s="357" t="s">
        <v>225</v>
      </c>
      <c r="B134" s="131" t="s">
        <v>226</v>
      </c>
      <c r="C134" s="131" t="s">
        <v>227</v>
      </c>
      <c r="D134" s="131" t="s">
        <v>228</v>
      </c>
      <c r="E134" s="131" t="s">
        <v>229</v>
      </c>
      <c r="F134" s="131" t="s">
        <v>230</v>
      </c>
      <c r="G134" s="131" t="s">
        <v>231</v>
      </c>
      <c r="H134" s="131" t="s">
        <v>232</v>
      </c>
      <c r="I134" s="131" t="s">
        <v>233</v>
      </c>
      <c r="J134" s="131" t="s">
        <v>234</v>
      </c>
      <c r="K134" s="131" t="s">
        <v>235</v>
      </c>
      <c r="L134" s="131" t="s">
        <v>236</v>
      </c>
      <c r="M134" s="132" t="s">
        <v>237</v>
      </c>
      <c r="N134" s="131" t="s">
        <v>238</v>
      </c>
      <c r="O134" s="131" t="s">
        <v>239</v>
      </c>
      <c r="P134" s="131" t="s">
        <v>240</v>
      </c>
      <c r="Q134" s="131" t="s">
        <v>241</v>
      </c>
      <c r="R134" s="131" t="s">
        <v>242</v>
      </c>
      <c r="S134" s="131" t="s">
        <v>243</v>
      </c>
      <c r="T134" s="131" t="s">
        <v>244</v>
      </c>
      <c r="U134" s="131" t="s">
        <v>245</v>
      </c>
      <c r="V134" s="131" t="s">
        <v>246</v>
      </c>
      <c r="W134" s="131" t="s">
        <v>247</v>
      </c>
      <c r="X134" s="131" t="s">
        <v>248</v>
      </c>
      <c r="Y134" s="131" t="s">
        <v>249</v>
      </c>
      <c r="Z134" s="508"/>
    </row>
    <row r="135" spans="1:26" ht="20.25" customHeight="1">
      <c r="A135" s="362" t="s">
        <v>252</v>
      </c>
      <c r="B135" s="140"/>
      <c r="C135" s="140">
        <v>0</v>
      </c>
      <c r="D135" s="140">
        <v>0</v>
      </c>
      <c r="E135" s="140">
        <v>0</v>
      </c>
      <c r="F135" s="140">
        <v>0</v>
      </c>
      <c r="G135" s="140"/>
      <c r="H135" s="140">
        <v>0</v>
      </c>
      <c r="I135" s="140">
        <v>0</v>
      </c>
      <c r="J135" s="140">
        <v>0</v>
      </c>
      <c r="K135" s="140">
        <v>0</v>
      </c>
      <c r="L135" s="140">
        <v>0</v>
      </c>
      <c r="M135" s="140">
        <v>0</v>
      </c>
      <c r="N135" s="140">
        <v>0</v>
      </c>
      <c r="O135" s="140">
        <v>0</v>
      </c>
      <c r="P135" s="140">
        <v>0</v>
      </c>
      <c r="Q135" s="140">
        <v>0</v>
      </c>
      <c r="R135" s="140">
        <v>0</v>
      </c>
      <c r="S135" s="140">
        <v>0</v>
      </c>
      <c r="T135" s="140">
        <v>0</v>
      </c>
      <c r="U135" s="140">
        <v>0</v>
      </c>
      <c r="V135" s="140">
        <v>0</v>
      </c>
      <c r="W135" s="140">
        <v>0</v>
      </c>
      <c r="X135" s="140">
        <v>0</v>
      </c>
      <c r="Y135" s="140">
        <v>0</v>
      </c>
      <c r="Z135" s="135">
        <f>SUM(B135:Y135)</f>
        <v>0</v>
      </c>
    </row>
    <row r="136" spans="1:26" ht="20.25" customHeight="1">
      <c r="A136" s="363">
        <v>551000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45">
        <f>SUM(B136:Y136)</f>
        <v>0</v>
      </c>
    </row>
    <row r="137" spans="1:26" ht="20.25" customHeight="1">
      <c r="A137" s="351">
        <v>510100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45">
        <f>SUM(B137:Y137)</f>
        <v>0</v>
      </c>
    </row>
    <row r="138" spans="1:26" ht="20.25" customHeight="1">
      <c r="A138" s="351">
        <v>510200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45">
        <f>SUM(B138:Y138)</f>
        <v>0</v>
      </c>
    </row>
    <row r="139" spans="1:26" ht="20.25" customHeight="1">
      <c r="A139" s="364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55"/>
    </row>
    <row r="140" spans="1:26" ht="20.25" customHeight="1" thickBot="1">
      <c r="A140" s="357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39"/>
      <c r="Z140" s="146">
        <f>SUM(B140:Y140)</f>
        <v>0</v>
      </c>
    </row>
    <row r="141" spans="1:26" ht="20.25" customHeight="1">
      <c r="A141" s="356" t="s">
        <v>250</v>
      </c>
      <c r="B141" s="162">
        <f>SUM(B136:B140)</f>
        <v>0</v>
      </c>
      <c r="C141" s="162">
        <f t="shared" ref="C141:I141" si="30">SUM(C140)</f>
        <v>0</v>
      </c>
      <c r="D141" s="162">
        <f t="shared" si="30"/>
        <v>0</v>
      </c>
      <c r="E141" s="162">
        <f t="shared" si="30"/>
        <v>0</v>
      </c>
      <c r="F141" s="162">
        <f t="shared" si="30"/>
        <v>0</v>
      </c>
      <c r="G141" s="162">
        <f t="shared" si="30"/>
        <v>0</v>
      </c>
      <c r="H141" s="162">
        <f t="shared" si="30"/>
        <v>0</v>
      </c>
      <c r="I141" s="162">
        <f t="shared" si="30"/>
        <v>0</v>
      </c>
      <c r="J141" s="162">
        <f>SUM(J137:J140)</f>
        <v>0</v>
      </c>
      <c r="K141" s="162">
        <f>SUM(K140)</f>
        <v>0</v>
      </c>
      <c r="L141" s="162">
        <f>SUM(L140)</f>
        <v>0</v>
      </c>
      <c r="M141" s="162">
        <f>SUM(M140)</f>
        <v>0</v>
      </c>
      <c r="N141" s="162">
        <f>SUM(N136:N140)</f>
        <v>0</v>
      </c>
      <c r="O141" s="162">
        <f t="shared" ref="O141:Y141" si="31">SUM(O140)</f>
        <v>0</v>
      </c>
      <c r="P141" s="162">
        <f t="shared" si="31"/>
        <v>0</v>
      </c>
      <c r="Q141" s="162">
        <f t="shared" si="31"/>
        <v>0</v>
      </c>
      <c r="R141" s="162">
        <f t="shared" si="31"/>
        <v>0</v>
      </c>
      <c r="S141" s="162">
        <f t="shared" si="31"/>
        <v>0</v>
      </c>
      <c r="T141" s="162">
        <f t="shared" si="31"/>
        <v>0</v>
      </c>
      <c r="U141" s="162">
        <f t="shared" si="31"/>
        <v>0</v>
      </c>
      <c r="V141" s="162">
        <f t="shared" si="31"/>
        <v>0</v>
      </c>
      <c r="W141" s="162">
        <f t="shared" si="31"/>
        <v>0</v>
      </c>
      <c r="X141" s="162">
        <f t="shared" si="31"/>
        <v>0</v>
      </c>
      <c r="Y141" s="162">
        <f t="shared" si="31"/>
        <v>0</v>
      </c>
      <c r="Z141" s="142">
        <f>SUM(B141:Y141)</f>
        <v>0</v>
      </c>
    </row>
    <row r="142" spans="1:26" ht="20.25" customHeight="1" thickBot="1">
      <c r="A142" s="357" t="s">
        <v>251</v>
      </c>
      <c r="B142" s="163">
        <f t="shared" ref="B142:Z142" si="32">B135+B141</f>
        <v>0</v>
      </c>
      <c r="C142" s="163">
        <f t="shared" si="32"/>
        <v>0</v>
      </c>
      <c r="D142" s="163">
        <f t="shared" si="32"/>
        <v>0</v>
      </c>
      <c r="E142" s="163">
        <f t="shared" si="32"/>
        <v>0</v>
      </c>
      <c r="F142" s="163">
        <f t="shared" si="32"/>
        <v>0</v>
      </c>
      <c r="G142" s="163">
        <f t="shared" si="32"/>
        <v>0</v>
      </c>
      <c r="H142" s="163">
        <f t="shared" si="32"/>
        <v>0</v>
      </c>
      <c r="I142" s="163">
        <f t="shared" si="32"/>
        <v>0</v>
      </c>
      <c r="J142" s="163">
        <f t="shared" si="32"/>
        <v>0</v>
      </c>
      <c r="K142" s="163">
        <f t="shared" si="32"/>
        <v>0</v>
      </c>
      <c r="L142" s="163">
        <f t="shared" si="32"/>
        <v>0</v>
      </c>
      <c r="M142" s="163">
        <f t="shared" si="32"/>
        <v>0</v>
      </c>
      <c r="N142" s="163">
        <f t="shared" si="32"/>
        <v>0</v>
      </c>
      <c r="O142" s="163">
        <f t="shared" si="32"/>
        <v>0</v>
      </c>
      <c r="P142" s="163">
        <f t="shared" si="32"/>
        <v>0</v>
      </c>
      <c r="Q142" s="163">
        <f t="shared" si="32"/>
        <v>0</v>
      </c>
      <c r="R142" s="163">
        <f t="shared" si="32"/>
        <v>0</v>
      </c>
      <c r="S142" s="163">
        <f t="shared" si="32"/>
        <v>0</v>
      </c>
      <c r="T142" s="163">
        <f t="shared" si="32"/>
        <v>0</v>
      </c>
      <c r="U142" s="163">
        <f t="shared" si="32"/>
        <v>0</v>
      </c>
      <c r="V142" s="163">
        <f t="shared" si="32"/>
        <v>0</v>
      </c>
      <c r="W142" s="163">
        <f t="shared" si="32"/>
        <v>0</v>
      </c>
      <c r="X142" s="163">
        <f t="shared" si="32"/>
        <v>0</v>
      </c>
      <c r="Y142" s="163">
        <f t="shared" si="32"/>
        <v>0</v>
      </c>
      <c r="Z142" s="146">
        <f t="shared" si="32"/>
        <v>0</v>
      </c>
    </row>
    <row r="143" spans="1:26" ht="20.25" customHeight="1">
      <c r="A143" s="362" t="s">
        <v>252</v>
      </c>
      <c r="B143" s="140"/>
      <c r="C143" s="140">
        <v>0</v>
      </c>
      <c r="D143" s="140">
        <v>0</v>
      </c>
      <c r="E143" s="140">
        <v>0</v>
      </c>
      <c r="F143" s="140">
        <v>0</v>
      </c>
      <c r="G143" s="140">
        <v>852800</v>
      </c>
      <c r="H143" s="140"/>
      <c r="I143" s="140">
        <v>50000</v>
      </c>
      <c r="J143" s="140"/>
      <c r="K143" s="140">
        <v>0</v>
      </c>
      <c r="L143" s="140">
        <v>0</v>
      </c>
      <c r="M143" s="140">
        <v>0</v>
      </c>
      <c r="N143" s="140">
        <v>0</v>
      </c>
      <c r="O143" s="140">
        <v>0</v>
      </c>
      <c r="P143" s="140">
        <v>0</v>
      </c>
      <c r="Q143" s="140">
        <v>0</v>
      </c>
      <c r="R143" s="140">
        <v>0</v>
      </c>
      <c r="S143" s="140">
        <v>0</v>
      </c>
      <c r="T143" s="140">
        <v>0</v>
      </c>
      <c r="U143" s="140">
        <v>0</v>
      </c>
      <c r="V143" s="140">
        <v>0</v>
      </c>
      <c r="W143" s="140">
        <v>0</v>
      </c>
      <c r="X143" s="140">
        <v>0</v>
      </c>
      <c r="Y143" s="140">
        <v>0</v>
      </c>
      <c r="Z143" s="164">
        <f>SUM(B143:Y143)</f>
        <v>902800</v>
      </c>
    </row>
    <row r="144" spans="1:26" ht="20.25" customHeight="1">
      <c r="A144" s="363">
        <v>560000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65"/>
      <c r="Z144" s="145">
        <f>SUM(B144:Y144)</f>
        <v>0</v>
      </c>
    </row>
    <row r="145" spans="1:208" ht="20.25" customHeight="1">
      <c r="A145" s="365">
        <v>610100</v>
      </c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5">
        <f>SUM(B145:Y145)</f>
        <v>0</v>
      </c>
    </row>
    <row r="146" spans="1:208" ht="20.25" customHeight="1">
      <c r="A146" s="166">
        <v>610200</v>
      </c>
      <c r="B146" s="138"/>
      <c r="C146" s="138"/>
      <c r="D146" s="138"/>
      <c r="E146" s="138"/>
      <c r="F146" s="138"/>
      <c r="G146" s="138">
        <v>0</v>
      </c>
      <c r="H146" s="138">
        <v>0</v>
      </c>
      <c r="I146" s="138">
        <v>0</v>
      </c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5">
        <f>SUM(B146:Y146)</f>
        <v>0</v>
      </c>
    </row>
    <row r="147" spans="1:208" ht="20.25" customHeight="1" thickBot="1">
      <c r="A147" s="166">
        <v>610400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5">
        <f>SUM(B147:Y147)</f>
        <v>0</v>
      </c>
    </row>
    <row r="148" spans="1:208" ht="20.25" customHeight="1">
      <c r="A148" s="128" t="s">
        <v>250</v>
      </c>
      <c r="B148" s="140">
        <f t="shared" ref="B148:Z148" si="33">SUM(B144:B147)</f>
        <v>0</v>
      </c>
      <c r="C148" s="140">
        <f t="shared" si="33"/>
        <v>0</v>
      </c>
      <c r="D148" s="140">
        <f t="shared" si="33"/>
        <v>0</v>
      </c>
      <c r="E148" s="140">
        <f t="shared" si="33"/>
        <v>0</v>
      </c>
      <c r="F148" s="140">
        <f t="shared" si="33"/>
        <v>0</v>
      </c>
      <c r="G148" s="140">
        <f t="shared" si="33"/>
        <v>0</v>
      </c>
      <c r="H148" s="140">
        <f t="shared" si="33"/>
        <v>0</v>
      </c>
      <c r="I148" s="140">
        <f t="shared" si="33"/>
        <v>0</v>
      </c>
      <c r="J148" s="140">
        <f t="shared" si="33"/>
        <v>0</v>
      </c>
      <c r="K148" s="140">
        <f t="shared" si="33"/>
        <v>0</v>
      </c>
      <c r="L148" s="140">
        <f t="shared" si="33"/>
        <v>0</v>
      </c>
      <c r="M148" s="140">
        <f t="shared" si="33"/>
        <v>0</v>
      </c>
      <c r="N148" s="140">
        <f t="shared" si="33"/>
        <v>0</v>
      </c>
      <c r="O148" s="140">
        <f t="shared" si="33"/>
        <v>0</v>
      </c>
      <c r="P148" s="140">
        <f t="shared" si="33"/>
        <v>0</v>
      </c>
      <c r="Q148" s="140">
        <f t="shared" si="33"/>
        <v>0</v>
      </c>
      <c r="R148" s="140">
        <f t="shared" si="33"/>
        <v>0</v>
      </c>
      <c r="S148" s="140">
        <f t="shared" si="33"/>
        <v>0</v>
      </c>
      <c r="T148" s="140">
        <f t="shared" si="33"/>
        <v>0</v>
      </c>
      <c r="U148" s="140">
        <f t="shared" si="33"/>
        <v>0</v>
      </c>
      <c r="V148" s="140">
        <f t="shared" si="33"/>
        <v>0</v>
      </c>
      <c r="W148" s="140">
        <f t="shared" si="33"/>
        <v>0</v>
      </c>
      <c r="X148" s="140">
        <f t="shared" si="33"/>
        <v>0</v>
      </c>
      <c r="Y148" s="140">
        <f t="shared" si="33"/>
        <v>0</v>
      </c>
      <c r="Z148" s="142">
        <f t="shared" si="33"/>
        <v>0</v>
      </c>
    </row>
    <row r="149" spans="1:208" ht="20.25" customHeight="1" thickBot="1">
      <c r="A149" s="130" t="s">
        <v>251</v>
      </c>
      <c r="B149" s="139">
        <f t="shared" ref="B149:Y149" si="34">B143+B148</f>
        <v>0</v>
      </c>
      <c r="C149" s="139">
        <f t="shared" si="34"/>
        <v>0</v>
      </c>
      <c r="D149" s="139">
        <f t="shared" si="34"/>
        <v>0</v>
      </c>
      <c r="E149" s="139">
        <f t="shared" si="34"/>
        <v>0</v>
      </c>
      <c r="F149" s="139">
        <f t="shared" si="34"/>
        <v>0</v>
      </c>
      <c r="G149" s="139">
        <f t="shared" si="34"/>
        <v>852800</v>
      </c>
      <c r="H149" s="139">
        <f t="shared" si="34"/>
        <v>0</v>
      </c>
      <c r="I149" s="139">
        <f t="shared" si="34"/>
        <v>50000</v>
      </c>
      <c r="J149" s="139">
        <f t="shared" si="34"/>
        <v>0</v>
      </c>
      <c r="K149" s="139">
        <f t="shared" si="34"/>
        <v>0</v>
      </c>
      <c r="L149" s="139">
        <f t="shared" si="34"/>
        <v>0</v>
      </c>
      <c r="M149" s="139">
        <f t="shared" si="34"/>
        <v>0</v>
      </c>
      <c r="N149" s="139">
        <f t="shared" si="34"/>
        <v>0</v>
      </c>
      <c r="O149" s="139">
        <f t="shared" si="34"/>
        <v>0</v>
      </c>
      <c r="P149" s="139">
        <f t="shared" si="34"/>
        <v>0</v>
      </c>
      <c r="Q149" s="139">
        <f t="shared" si="34"/>
        <v>0</v>
      </c>
      <c r="R149" s="139">
        <f t="shared" si="34"/>
        <v>0</v>
      </c>
      <c r="S149" s="139">
        <f t="shared" si="34"/>
        <v>0</v>
      </c>
      <c r="T149" s="139">
        <f t="shared" si="34"/>
        <v>0</v>
      </c>
      <c r="U149" s="139">
        <f t="shared" si="34"/>
        <v>0</v>
      </c>
      <c r="V149" s="139">
        <f t="shared" si="34"/>
        <v>0</v>
      </c>
      <c r="W149" s="139">
        <f t="shared" si="34"/>
        <v>0</v>
      </c>
      <c r="X149" s="139">
        <f t="shared" si="34"/>
        <v>0</v>
      </c>
      <c r="Y149" s="139">
        <f t="shared" si="34"/>
        <v>0</v>
      </c>
      <c r="Z149" s="146">
        <f>+Z143+Z148</f>
        <v>902800</v>
      </c>
    </row>
    <row r="150" spans="1:208" ht="20.25" customHeight="1">
      <c r="A150" s="128" t="s">
        <v>250</v>
      </c>
      <c r="B150" s="162">
        <f t="shared" ref="B150:Z150" si="35">B17+B26+B37+B57+B65+B81+B99+B109+B116+B141+B148</f>
        <v>442556.22</v>
      </c>
      <c r="C150" s="162">
        <f t="shared" si="35"/>
        <v>110804</v>
      </c>
      <c r="D150" s="162">
        <f t="shared" si="35"/>
        <v>42180</v>
      </c>
      <c r="E150" s="162">
        <f t="shared" si="35"/>
        <v>0</v>
      </c>
      <c r="F150" s="162">
        <f t="shared" si="35"/>
        <v>18580</v>
      </c>
      <c r="G150" s="162">
        <f t="shared" si="35"/>
        <v>0</v>
      </c>
      <c r="H150" s="162">
        <f t="shared" si="35"/>
        <v>0</v>
      </c>
      <c r="I150" s="162">
        <f t="shared" si="35"/>
        <v>0</v>
      </c>
      <c r="J150" s="162">
        <f t="shared" si="35"/>
        <v>0</v>
      </c>
      <c r="K150" s="162">
        <f t="shared" si="35"/>
        <v>0</v>
      </c>
      <c r="L150" s="162">
        <f t="shared" si="35"/>
        <v>0</v>
      </c>
      <c r="M150" s="162">
        <f t="shared" si="35"/>
        <v>162493</v>
      </c>
      <c r="N150" s="162">
        <f t="shared" si="35"/>
        <v>0</v>
      </c>
      <c r="O150" s="162">
        <f t="shared" si="35"/>
        <v>0</v>
      </c>
      <c r="P150" s="162">
        <f t="shared" si="35"/>
        <v>9850</v>
      </c>
      <c r="Q150" s="162">
        <f t="shared" si="35"/>
        <v>0</v>
      </c>
      <c r="R150" s="162">
        <f t="shared" si="35"/>
        <v>0</v>
      </c>
      <c r="S150" s="162">
        <f t="shared" si="35"/>
        <v>2000</v>
      </c>
      <c r="T150" s="162">
        <f t="shared" si="35"/>
        <v>83896</v>
      </c>
      <c r="U150" s="162">
        <f t="shared" si="35"/>
        <v>0</v>
      </c>
      <c r="V150" s="162">
        <f t="shared" si="35"/>
        <v>0</v>
      </c>
      <c r="W150" s="162">
        <f t="shared" si="35"/>
        <v>0</v>
      </c>
      <c r="X150" s="162">
        <f t="shared" si="35"/>
        <v>73669.11</v>
      </c>
      <c r="Y150" s="162">
        <f t="shared" si="35"/>
        <v>98423</v>
      </c>
      <c r="Z150" s="142">
        <f t="shared" si="35"/>
        <v>1044451.33</v>
      </c>
    </row>
    <row r="151" spans="1:208" ht="20.25" customHeight="1" thickBot="1">
      <c r="A151" s="130" t="s">
        <v>251</v>
      </c>
      <c r="B151" s="167">
        <f t="shared" ref="B151:Z151" si="36">B18+B27+B38+B58+B66+B82+B100+B110+B117+B142+B149</f>
        <v>3292122.51</v>
      </c>
      <c r="C151" s="167">
        <f t="shared" si="36"/>
        <v>790960.37</v>
      </c>
      <c r="D151" s="167">
        <f t="shared" si="36"/>
        <v>151903</v>
      </c>
      <c r="E151" s="167">
        <f t="shared" si="36"/>
        <v>964.07</v>
      </c>
      <c r="F151" s="167">
        <f t="shared" si="36"/>
        <v>1172911.3600000001</v>
      </c>
      <c r="G151" s="167">
        <f t="shared" si="36"/>
        <v>946720</v>
      </c>
      <c r="H151" s="167">
        <f t="shared" si="36"/>
        <v>0</v>
      </c>
      <c r="I151" s="167">
        <f t="shared" si="36"/>
        <v>50000</v>
      </c>
      <c r="J151" s="167">
        <f t="shared" si="36"/>
        <v>0</v>
      </c>
      <c r="K151" s="167">
        <f t="shared" si="36"/>
        <v>0</v>
      </c>
      <c r="L151" s="167">
        <f t="shared" si="36"/>
        <v>0</v>
      </c>
      <c r="M151" s="167">
        <f t="shared" si="36"/>
        <v>920012</v>
      </c>
      <c r="N151" s="167">
        <f t="shared" si="36"/>
        <v>0</v>
      </c>
      <c r="O151" s="167">
        <f t="shared" si="36"/>
        <v>0</v>
      </c>
      <c r="P151" s="167">
        <f t="shared" si="36"/>
        <v>12795</v>
      </c>
      <c r="Q151" s="167">
        <f t="shared" si="36"/>
        <v>0</v>
      </c>
      <c r="R151" s="167">
        <f t="shared" si="36"/>
        <v>20000</v>
      </c>
      <c r="S151" s="167">
        <f t="shared" si="36"/>
        <v>66759</v>
      </c>
      <c r="T151" s="167">
        <f t="shared" si="36"/>
        <v>178606</v>
      </c>
      <c r="U151" s="167">
        <f t="shared" si="36"/>
        <v>0</v>
      </c>
      <c r="V151" s="167">
        <f t="shared" si="36"/>
        <v>0</v>
      </c>
      <c r="W151" s="167">
        <f t="shared" si="36"/>
        <v>0</v>
      </c>
      <c r="X151" s="167">
        <f t="shared" si="36"/>
        <v>426163.85</v>
      </c>
      <c r="Y151" s="167">
        <f t="shared" si="36"/>
        <v>432719</v>
      </c>
      <c r="Z151" s="168">
        <f t="shared" si="36"/>
        <v>8462636.1600000001</v>
      </c>
    </row>
    <row r="152" spans="1:208" ht="20.25" customHeight="1">
      <c r="H152" s="143"/>
    </row>
    <row r="155" spans="1:208" s="159" customFormat="1" ht="20.25" customHeight="1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</row>
    <row r="156" spans="1:208" s="159" customFormat="1" ht="20.25" customHeight="1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</row>
    <row r="157" spans="1:208" s="159" customFormat="1" ht="20.25" customHeight="1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</row>
    <row r="158" spans="1:208" s="159" customFormat="1" ht="20.25" customHeight="1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</row>
    <row r="159" spans="1:208" s="159" customFormat="1" ht="20.25" customHeight="1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</row>
    <row r="160" spans="1:208" s="159" customFormat="1" ht="20.25" customHeight="1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</row>
    <row r="161" spans="1:208" s="159" customFormat="1" ht="20.25" customHeight="1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</row>
    <row r="162" spans="1:208" s="159" customFormat="1" ht="20.25" customHeight="1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</row>
    <row r="163" spans="1:208" s="159" customFormat="1" ht="20.25" customHeight="1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</row>
    <row r="164" spans="1:208" s="159" customFormat="1" ht="20.25" customHeight="1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</row>
    <row r="165" spans="1:208" s="159" customFormat="1" ht="20.25" customHeight="1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</row>
    <row r="166" spans="1:208" s="159" customFormat="1" ht="20.25" customHeight="1"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  <c r="GG166" s="127"/>
      <c r="GH166" s="127"/>
      <c r="GI166" s="127"/>
      <c r="GJ166" s="127"/>
      <c r="GK166" s="127"/>
      <c r="GL166" s="127"/>
      <c r="GM166" s="127"/>
      <c r="GN166" s="127"/>
      <c r="GO166" s="127"/>
      <c r="GP166" s="127"/>
      <c r="GQ166" s="127"/>
      <c r="GR166" s="127"/>
      <c r="GS166" s="127"/>
      <c r="GT166" s="127"/>
      <c r="GU166" s="127"/>
      <c r="GV166" s="127"/>
      <c r="GW166" s="127"/>
      <c r="GX166" s="127"/>
      <c r="GY166" s="127"/>
      <c r="GZ166" s="127"/>
    </row>
    <row r="167" spans="1:208" s="159" customFormat="1" ht="20.25" customHeight="1"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  <c r="GG167" s="127"/>
      <c r="GH167" s="127"/>
      <c r="GI167" s="127"/>
      <c r="GJ167" s="127"/>
      <c r="GK167" s="127"/>
      <c r="GL167" s="127"/>
      <c r="GM167" s="127"/>
      <c r="GN167" s="127"/>
      <c r="GO167" s="127"/>
      <c r="GP167" s="127"/>
      <c r="GQ167" s="127"/>
      <c r="GR167" s="127"/>
      <c r="GS167" s="127"/>
      <c r="GT167" s="127"/>
      <c r="GU167" s="127"/>
      <c r="GV167" s="127"/>
      <c r="GW167" s="127"/>
      <c r="GX167" s="127"/>
      <c r="GY167" s="127"/>
      <c r="GZ167" s="127"/>
    </row>
    <row r="168" spans="1:208" s="159" customFormat="1" ht="20.25" customHeight="1"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  <c r="GG168" s="127"/>
      <c r="GH168" s="127"/>
      <c r="GI168" s="127"/>
      <c r="GJ168" s="127"/>
      <c r="GK168" s="127"/>
      <c r="GL168" s="127"/>
      <c r="GM168" s="127"/>
      <c r="GN168" s="127"/>
      <c r="GO168" s="127"/>
      <c r="GP168" s="127"/>
      <c r="GQ168" s="127"/>
      <c r="GR168" s="127"/>
      <c r="GS168" s="127"/>
      <c r="GT168" s="127"/>
      <c r="GU168" s="127"/>
      <c r="GV168" s="127"/>
      <c r="GW168" s="127"/>
      <c r="GX168" s="127"/>
      <c r="GY168" s="127"/>
      <c r="GZ168" s="127"/>
    </row>
    <row r="169" spans="1:208" s="159" customFormat="1" ht="20.25" customHeight="1"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  <c r="GG169" s="127"/>
      <c r="GH169" s="127"/>
      <c r="GI169" s="127"/>
      <c r="GJ169" s="127"/>
      <c r="GK169" s="127"/>
      <c r="GL169" s="127"/>
      <c r="GM169" s="127"/>
      <c r="GN169" s="127"/>
      <c r="GO169" s="127"/>
      <c r="GP169" s="127"/>
      <c r="GQ169" s="127"/>
      <c r="GR169" s="127"/>
      <c r="GS169" s="127"/>
      <c r="GT169" s="127"/>
      <c r="GU169" s="127"/>
      <c r="GV169" s="127"/>
      <c r="GW169" s="127"/>
      <c r="GX169" s="127"/>
      <c r="GY169" s="127"/>
      <c r="GZ169" s="127"/>
    </row>
    <row r="170" spans="1:208" s="159" customFormat="1" ht="20.25" customHeight="1"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  <c r="GG170" s="127"/>
      <c r="GH170" s="127"/>
      <c r="GI170" s="127"/>
      <c r="GJ170" s="127"/>
      <c r="GK170" s="127"/>
      <c r="GL170" s="127"/>
      <c r="GM170" s="127"/>
      <c r="GN170" s="127"/>
      <c r="GO170" s="127"/>
      <c r="GP170" s="127"/>
      <c r="GQ170" s="127"/>
      <c r="GR170" s="127"/>
      <c r="GS170" s="127"/>
      <c r="GT170" s="127"/>
      <c r="GU170" s="127"/>
      <c r="GV170" s="127"/>
      <c r="GW170" s="127"/>
      <c r="GX170" s="127"/>
      <c r="GY170" s="127"/>
      <c r="GZ170" s="127"/>
    </row>
    <row r="171" spans="1:208" s="159" customFormat="1" ht="20.25" customHeight="1"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  <c r="GG171" s="127"/>
      <c r="GH171" s="127"/>
      <c r="GI171" s="127"/>
      <c r="GJ171" s="127"/>
      <c r="GK171" s="127"/>
      <c r="GL171" s="127"/>
      <c r="GM171" s="127"/>
      <c r="GN171" s="127"/>
      <c r="GO171" s="127"/>
      <c r="GP171" s="127"/>
      <c r="GQ171" s="127"/>
      <c r="GR171" s="127"/>
      <c r="GS171" s="127"/>
      <c r="GT171" s="127"/>
      <c r="GU171" s="127"/>
      <c r="GV171" s="127"/>
      <c r="GW171" s="127"/>
      <c r="GX171" s="127"/>
      <c r="GY171" s="127"/>
      <c r="GZ171" s="127"/>
    </row>
    <row r="172" spans="1:208" s="159" customFormat="1" ht="20.25" customHeight="1"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  <c r="GG172" s="127"/>
      <c r="GH172" s="127"/>
      <c r="GI172" s="127"/>
      <c r="GJ172" s="127"/>
      <c r="GK172" s="127"/>
      <c r="GL172" s="127"/>
      <c r="GM172" s="127"/>
      <c r="GN172" s="127"/>
      <c r="GO172" s="127"/>
      <c r="GP172" s="127"/>
      <c r="GQ172" s="127"/>
      <c r="GR172" s="127"/>
      <c r="GS172" s="127"/>
      <c r="GT172" s="127"/>
      <c r="GU172" s="127"/>
      <c r="GV172" s="127"/>
      <c r="GW172" s="127"/>
      <c r="GX172" s="127"/>
      <c r="GY172" s="127"/>
      <c r="GZ172" s="127"/>
    </row>
    <row r="173" spans="1:208" ht="20.25" customHeight="1">
      <c r="A173" s="501" t="s">
        <v>210</v>
      </c>
      <c r="B173" s="501"/>
      <c r="C173" s="501"/>
      <c r="D173" s="501"/>
      <c r="E173" s="501"/>
      <c r="F173" s="501"/>
      <c r="G173" s="501"/>
      <c r="H173" s="501"/>
      <c r="I173" s="501"/>
      <c r="J173" s="501"/>
      <c r="K173" s="501"/>
      <c r="L173" s="501"/>
      <c r="M173" s="501"/>
      <c r="N173" s="501"/>
      <c r="O173" s="501"/>
      <c r="P173" s="501"/>
      <c r="Q173" s="501"/>
      <c r="R173" s="501"/>
      <c r="S173" s="501"/>
      <c r="T173" s="501"/>
      <c r="U173" s="501"/>
      <c r="V173" s="501"/>
      <c r="W173" s="501"/>
      <c r="X173" s="501"/>
      <c r="Y173" s="501"/>
      <c r="Z173" s="501"/>
    </row>
    <row r="174" spans="1:208" ht="20.25" customHeight="1">
      <c r="A174" s="501" t="s">
        <v>253</v>
      </c>
      <c r="B174" s="501"/>
      <c r="C174" s="501"/>
      <c r="D174" s="501"/>
      <c r="E174" s="501"/>
      <c r="F174" s="501"/>
      <c r="G174" s="501"/>
      <c r="H174" s="501"/>
      <c r="I174" s="501"/>
      <c r="J174" s="501"/>
      <c r="K174" s="501"/>
      <c r="L174" s="501"/>
      <c r="M174" s="501"/>
      <c r="N174" s="501"/>
      <c r="O174" s="501"/>
      <c r="P174" s="501"/>
      <c r="Q174" s="501"/>
      <c r="R174" s="501"/>
      <c r="S174" s="501"/>
      <c r="T174" s="501"/>
      <c r="U174" s="501"/>
      <c r="V174" s="501"/>
      <c r="W174" s="501"/>
      <c r="X174" s="501"/>
      <c r="Y174" s="501"/>
      <c r="Z174" s="501"/>
    </row>
    <row r="175" spans="1:208" ht="20.25" customHeight="1" thickBot="1">
      <c r="A175" s="502" t="str">
        <f>A46</f>
        <v>วันที่  31  พฤษภาคม  2556</v>
      </c>
      <c r="B175" s="502"/>
      <c r="C175" s="502"/>
      <c r="D175" s="502"/>
      <c r="E175" s="502"/>
      <c r="F175" s="502"/>
      <c r="G175" s="502"/>
      <c r="H175" s="502"/>
      <c r="I175" s="502"/>
      <c r="J175" s="502"/>
      <c r="K175" s="502"/>
      <c r="L175" s="502"/>
      <c r="M175" s="502"/>
      <c r="N175" s="502"/>
      <c r="O175" s="502"/>
      <c r="P175" s="502"/>
      <c r="Q175" s="502"/>
      <c r="R175" s="502"/>
      <c r="S175" s="502"/>
      <c r="T175" s="502"/>
      <c r="U175" s="502"/>
      <c r="V175" s="502"/>
      <c r="W175" s="502"/>
      <c r="X175" s="502"/>
      <c r="Y175" s="502"/>
      <c r="Z175" s="502"/>
    </row>
    <row r="176" spans="1:208" ht="20.25" customHeight="1">
      <c r="A176" s="128" t="s">
        <v>212</v>
      </c>
      <c r="B176" s="503" t="s">
        <v>213</v>
      </c>
      <c r="C176" s="503"/>
      <c r="D176" s="503" t="s">
        <v>214</v>
      </c>
      <c r="E176" s="503"/>
      <c r="F176" s="503" t="s">
        <v>215</v>
      </c>
      <c r="G176" s="503"/>
      <c r="H176" s="503"/>
      <c r="I176" s="503" t="s">
        <v>216</v>
      </c>
      <c r="J176" s="503"/>
      <c r="K176" s="503" t="s">
        <v>217</v>
      </c>
      <c r="L176" s="503"/>
      <c r="M176" s="504" t="s">
        <v>218</v>
      </c>
      <c r="N176" s="505"/>
      <c r="O176" s="506"/>
      <c r="P176" s="503" t="s">
        <v>219</v>
      </c>
      <c r="Q176" s="503"/>
      <c r="R176" s="503" t="s">
        <v>220</v>
      </c>
      <c r="S176" s="503"/>
      <c r="T176" s="503"/>
      <c r="U176" s="169" t="s">
        <v>221</v>
      </c>
      <c r="V176" s="503" t="s">
        <v>222</v>
      </c>
      <c r="W176" s="503"/>
      <c r="X176" s="169" t="s">
        <v>223</v>
      </c>
      <c r="Y176" s="169" t="s">
        <v>224</v>
      </c>
      <c r="Z176" s="507" t="s">
        <v>55</v>
      </c>
    </row>
    <row r="177" spans="1:26" ht="20.25" customHeight="1" thickBot="1">
      <c r="A177" s="130" t="s">
        <v>225</v>
      </c>
      <c r="B177" s="131" t="s">
        <v>226</v>
      </c>
      <c r="C177" s="131" t="s">
        <v>227</v>
      </c>
      <c r="D177" s="131" t="s">
        <v>228</v>
      </c>
      <c r="E177" s="131" t="s">
        <v>229</v>
      </c>
      <c r="F177" s="131" t="s">
        <v>230</v>
      </c>
      <c r="G177" s="131" t="s">
        <v>231</v>
      </c>
      <c r="H177" s="131" t="s">
        <v>232</v>
      </c>
      <c r="I177" s="131" t="s">
        <v>233</v>
      </c>
      <c r="J177" s="131" t="s">
        <v>234</v>
      </c>
      <c r="K177" s="131" t="s">
        <v>235</v>
      </c>
      <c r="L177" s="131" t="s">
        <v>236</v>
      </c>
      <c r="M177" s="132" t="s">
        <v>237</v>
      </c>
      <c r="N177" s="131" t="s">
        <v>238</v>
      </c>
      <c r="O177" s="131" t="s">
        <v>239</v>
      </c>
      <c r="P177" s="131" t="s">
        <v>240</v>
      </c>
      <c r="Q177" s="131" t="s">
        <v>241</v>
      </c>
      <c r="R177" s="131" t="s">
        <v>242</v>
      </c>
      <c r="S177" s="131" t="s">
        <v>243</v>
      </c>
      <c r="T177" s="131" t="s">
        <v>244</v>
      </c>
      <c r="U177" s="131" t="s">
        <v>245</v>
      </c>
      <c r="V177" s="131" t="s">
        <v>246</v>
      </c>
      <c r="W177" s="131" t="s">
        <v>247</v>
      </c>
      <c r="X177" s="131" t="s">
        <v>248</v>
      </c>
      <c r="Y177" s="131" t="s">
        <v>249</v>
      </c>
      <c r="Z177" s="508"/>
    </row>
    <row r="178" spans="1:26" ht="20.25" customHeight="1">
      <c r="A178" s="160" t="s">
        <v>252</v>
      </c>
      <c r="B178" s="140"/>
      <c r="C178" s="140">
        <v>0</v>
      </c>
      <c r="D178" s="140">
        <v>0</v>
      </c>
      <c r="E178" s="140">
        <v>0</v>
      </c>
      <c r="F178" s="140">
        <v>0</v>
      </c>
      <c r="G178" s="140"/>
      <c r="H178" s="140">
        <v>0</v>
      </c>
      <c r="I178" s="140">
        <v>0</v>
      </c>
      <c r="J178" s="140">
        <v>0</v>
      </c>
      <c r="K178" s="140">
        <v>0</v>
      </c>
      <c r="L178" s="140">
        <v>0</v>
      </c>
      <c r="M178" s="140">
        <v>1550900</v>
      </c>
      <c r="N178" s="140">
        <v>0</v>
      </c>
      <c r="O178" s="140">
        <v>0</v>
      </c>
      <c r="P178" s="140">
        <v>0</v>
      </c>
      <c r="Q178" s="140">
        <v>0</v>
      </c>
      <c r="R178" s="140">
        <v>0</v>
      </c>
      <c r="S178" s="140">
        <v>0</v>
      </c>
      <c r="T178" s="140">
        <v>0</v>
      </c>
      <c r="U178" s="140">
        <v>0</v>
      </c>
      <c r="V178" s="140">
        <v>0</v>
      </c>
      <c r="W178" s="140">
        <v>0</v>
      </c>
      <c r="X178" s="140">
        <v>0</v>
      </c>
      <c r="Y178" s="140">
        <v>0</v>
      </c>
      <c r="Z178" s="135">
        <f>SUM(B178:Y178)</f>
        <v>1550900</v>
      </c>
    </row>
    <row r="179" spans="1:26" ht="20.25" customHeight="1">
      <c r="A179" s="161">
        <v>542000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45">
        <f>SUM(B179:Y179)</f>
        <v>0</v>
      </c>
    </row>
    <row r="180" spans="1:26" ht="20.25" customHeight="1">
      <c r="A180" s="137">
        <v>420900</v>
      </c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>
        <v>0</v>
      </c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45">
        <f>SUM(B180:Y180)</f>
        <v>0</v>
      </c>
    </row>
    <row r="181" spans="1:26" ht="20.25" customHeight="1">
      <c r="A181" s="137"/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45">
        <f>SUM(B181:Y181)</f>
        <v>0</v>
      </c>
    </row>
    <row r="182" spans="1:26" ht="20.25" customHeight="1">
      <c r="A182" s="147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55"/>
    </row>
    <row r="183" spans="1:26" ht="20.25" customHeight="1" thickBot="1">
      <c r="A183" s="130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46">
        <f>SUM(B183:Y183)</f>
        <v>0</v>
      </c>
    </row>
    <row r="184" spans="1:26" ht="20.25" customHeight="1">
      <c r="A184" s="128" t="s">
        <v>250</v>
      </c>
      <c r="B184" s="162">
        <f>SUM(B179:B183)</f>
        <v>0</v>
      </c>
      <c r="C184" s="162">
        <f t="shared" ref="C184:I184" si="37">SUM(C183)</f>
        <v>0</v>
      </c>
      <c r="D184" s="162">
        <f t="shared" si="37"/>
        <v>0</v>
      </c>
      <c r="E184" s="162">
        <f t="shared" si="37"/>
        <v>0</v>
      </c>
      <c r="F184" s="162">
        <f t="shared" si="37"/>
        <v>0</v>
      </c>
      <c r="G184" s="162">
        <f t="shared" si="37"/>
        <v>0</v>
      </c>
      <c r="H184" s="162">
        <f t="shared" si="37"/>
        <v>0</v>
      </c>
      <c r="I184" s="162">
        <f t="shared" si="37"/>
        <v>0</v>
      </c>
      <c r="J184" s="162">
        <f>SUM(J180:J183)</f>
        <v>0</v>
      </c>
      <c r="K184" s="162">
        <f>SUM(K183)</f>
        <v>0</v>
      </c>
      <c r="L184" s="162">
        <f>SUM(L183)</f>
        <v>0</v>
      </c>
      <c r="M184" s="162">
        <f>SUM(M179:M183)</f>
        <v>0</v>
      </c>
      <c r="N184" s="162">
        <f>SUM(N179:N183)</f>
        <v>0</v>
      </c>
      <c r="O184" s="162">
        <f t="shared" ref="O184:Y184" si="38">SUM(O183)</f>
        <v>0</v>
      </c>
      <c r="P184" s="162">
        <f t="shared" si="38"/>
        <v>0</v>
      </c>
      <c r="Q184" s="162">
        <f t="shared" si="38"/>
        <v>0</v>
      </c>
      <c r="R184" s="162">
        <f t="shared" si="38"/>
        <v>0</v>
      </c>
      <c r="S184" s="162">
        <f t="shared" si="38"/>
        <v>0</v>
      </c>
      <c r="T184" s="162">
        <f t="shared" si="38"/>
        <v>0</v>
      </c>
      <c r="U184" s="162">
        <f t="shared" si="38"/>
        <v>0</v>
      </c>
      <c r="V184" s="162">
        <f t="shared" si="38"/>
        <v>0</v>
      </c>
      <c r="W184" s="162">
        <f t="shared" si="38"/>
        <v>0</v>
      </c>
      <c r="X184" s="162">
        <f t="shared" si="38"/>
        <v>0</v>
      </c>
      <c r="Y184" s="162">
        <f t="shared" si="38"/>
        <v>0</v>
      </c>
      <c r="Z184" s="142">
        <f>SUM(B184:Y184)</f>
        <v>0</v>
      </c>
    </row>
    <row r="185" spans="1:26" ht="20.25" customHeight="1" thickBot="1">
      <c r="A185" s="130" t="s">
        <v>251</v>
      </c>
      <c r="B185" s="163">
        <f t="shared" ref="B185:Z185" si="39">B178+B184</f>
        <v>0</v>
      </c>
      <c r="C185" s="163">
        <f t="shared" si="39"/>
        <v>0</v>
      </c>
      <c r="D185" s="163">
        <f t="shared" si="39"/>
        <v>0</v>
      </c>
      <c r="E185" s="163">
        <f t="shared" si="39"/>
        <v>0</v>
      </c>
      <c r="F185" s="163">
        <f t="shared" si="39"/>
        <v>0</v>
      </c>
      <c r="G185" s="163">
        <f t="shared" si="39"/>
        <v>0</v>
      </c>
      <c r="H185" s="163">
        <f t="shared" si="39"/>
        <v>0</v>
      </c>
      <c r="I185" s="163">
        <f t="shared" si="39"/>
        <v>0</v>
      </c>
      <c r="J185" s="163">
        <f t="shared" si="39"/>
        <v>0</v>
      </c>
      <c r="K185" s="163">
        <f t="shared" si="39"/>
        <v>0</v>
      </c>
      <c r="L185" s="163">
        <f t="shared" si="39"/>
        <v>0</v>
      </c>
      <c r="M185" s="163">
        <f t="shared" si="39"/>
        <v>1550900</v>
      </c>
      <c r="N185" s="163">
        <f t="shared" si="39"/>
        <v>0</v>
      </c>
      <c r="O185" s="163">
        <f t="shared" si="39"/>
        <v>0</v>
      </c>
      <c r="P185" s="163">
        <f t="shared" si="39"/>
        <v>0</v>
      </c>
      <c r="Q185" s="163">
        <f t="shared" si="39"/>
        <v>0</v>
      </c>
      <c r="R185" s="163">
        <f t="shared" si="39"/>
        <v>0</v>
      </c>
      <c r="S185" s="163">
        <f t="shared" si="39"/>
        <v>0</v>
      </c>
      <c r="T185" s="163">
        <f t="shared" si="39"/>
        <v>0</v>
      </c>
      <c r="U185" s="163">
        <f t="shared" si="39"/>
        <v>0</v>
      </c>
      <c r="V185" s="163">
        <f t="shared" si="39"/>
        <v>0</v>
      </c>
      <c r="W185" s="163">
        <f t="shared" si="39"/>
        <v>0</v>
      </c>
      <c r="X185" s="163">
        <f t="shared" si="39"/>
        <v>0</v>
      </c>
      <c r="Y185" s="163">
        <f t="shared" si="39"/>
        <v>0</v>
      </c>
      <c r="Z185" s="146">
        <f t="shared" si="39"/>
        <v>1550900</v>
      </c>
    </row>
    <row r="186" spans="1:26" ht="20.25" customHeight="1">
      <c r="A186" s="160" t="s">
        <v>252</v>
      </c>
      <c r="B186" s="140"/>
      <c r="C186" s="140">
        <v>0</v>
      </c>
      <c r="D186" s="140">
        <v>0</v>
      </c>
      <c r="E186" s="140">
        <v>0</v>
      </c>
      <c r="F186" s="140">
        <v>0</v>
      </c>
      <c r="G186" s="140"/>
      <c r="H186" s="140"/>
      <c r="I186" s="140"/>
      <c r="J186" s="140"/>
      <c r="K186" s="140">
        <v>0</v>
      </c>
      <c r="L186" s="140">
        <v>0</v>
      </c>
      <c r="M186" s="140">
        <v>0</v>
      </c>
      <c r="N186" s="140">
        <v>0</v>
      </c>
      <c r="O186" s="140">
        <v>0</v>
      </c>
      <c r="P186" s="140">
        <v>0</v>
      </c>
      <c r="Q186" s="140">
        <v>0</v>
      </c>
      <c r="R186" s="140">
        <v>0</v>
      </c>
      <c r="S186" s="140">
        <v>0</v>
      </c>
      <c r="T186" s="140">
        <v>0</v>
      </c>
      <c r="U186" s="140">
        <v>0</v>
      </c>
      <c r="V186" s="140">
        <v>0</v>
      </c>
      <c r="W186" s="140">
        <v>0</v>
      </c>
      <c r="X186" s="140">
        <v>0</v>
      </c>
      <c r="Y186" s="140">
        <v>0</v>
      </c>
      <c r="Z186" s="164">
        <f>SUM(B186:Y186)</f>
        <v>0</v>
      </c>
    </row>
    <row r="187" spans="1:26" ht="20.25" customHeight="1">
      <c r="A187" s="161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65"/>
      <c r="Z187" s="145">
        <f>SUM(B187:Y187)</f>
        <v>0</v>
      </c>
    </row>
    <row r="188" spans="1:26" ht="20.25" customHeight="1">
      <c r="A188" s="166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5">
        <f>SUM(B188:Y188)</f>
        <v>0</v>
      </c>
    </row>
    <row r="189" spans="1:26" ht="20.25" customHeight="1">
      <c r="A189" s="166"/>
      <c r="B189" s="138"/>
      <c r="C189" s="138"/>
      <c r="D189" s="138"/>
      <c r="E189" s="138"/>
      <c r="F189" s="138"/>
      <c r="G189" s="138"/>
      <c r="H189" s="138">
        <v>0</v>
      </c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5">
        <f>SUM(B189:Y189)</f>
        <v>0</v>
      </c>
    </row>
    <row r="190" spans="1:26" ht="20.25" customHeight="1" thickBot="1">
      <c r="A190" s="166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5">
        <f>SUM(B190:Y190)</f>
        <v>0</v>
      </c>
    </row>
    <row r="191" spans="1:26" ht="20.25" customHeight="1">
      <c r="A191" s="128" t="s">
        <v>250</v>
      </c>
      <c r="B191" s="140">
        <f t="shared" ref="B191:Z191" si="40">SUM(B187:B190)</f>
        <v>0</v>
      </c>
      <c r="C191" s="140">
        <f t="shared" si="40"/>
        <v>0</v>
      </c>
      <c r="D191" s="140">
        <f t="shared" si="40"/>
        <v>0</v>
      </c>
      <c r="E191" s="140">
        <f t="shared" si="40"/>
        <v>0</v>
      </c>
      <c r="F191" s="140">
        <f t="shared" si="40"/>
        <v>0</v>
      </c>
      <c r="G191" s="140">
        <f t="shared" si="40"/>
        <v>0</v>
      </c>
      <c r="H191" s="140">
        <f t="shared" si="40"/>
        <v>0</v>
      </c>
      <c r="I191" s="140">
        <f t="shared" si="40"/>
        <v>0</v>
      </c>
      <c r="J191" s="140">
        <f t="shared" si="40"/>
        <v>0</v>
      </c>
      <c r="K191" s="140">
        <f t="shared" si="40"/>
        <v>0</v>
      </c>
      <c r="L191" s="140">
        <f t="shared" si="40"/>
        <v>0</v>
      </c>
      <c r="M191" s="140">
        <f t="shared" si="40"/>
        <v>0</v>
      </c>
      <c r="N191" s="140">
        <f t="shared" si="40"/>
        <v>0</v>
      </c>
      <c r="O191" s="140">
        <f t="shared" si="40"/>
        <v>0</v>
      </c>
      <c r="P191" s="140">
        <f t="shared" si="40"/>
        <v>0</v>
      </c>
      <c r="Q191" s="140">
        <f t="shared" si="40"/>
        <v>0</v>
      </c>
      <c r="R191" s="140">
        <f t="shared" si="40"/>
        <v>0</v>
      </c>
      <c r="S191" s="140">
        <f t="shared" si="40"/>
        <v>0</v>
      </c>
      <c r="T191" s="140">
        <f t="shared" si="40"/>
        <v>0</v>
      </c>
      <c r="U191" s="140">
        <f t="shared" si="40"/>
        <v>0</v>
      </c>
      <c r="V191" s="140">
        <f t="shared" si="40"/>
        <v>0</v>
      </c>
      <c r="W191" s="140">
        <f t="shared" si="40"/>
        <v>0</v>
      </c>
      <c r="X191" s="140">
        <f t="shared" si="40"/>
        <v>0</v>
      </c>
      <c r="Y191" s="140">
        <f t="shared" si="40"/>
        <v>0</v>
      </c>
      <c r="Z191" s="142">
        <f t="shared" si="40"/>
        <v>0</v>
      </c>
    </row>
    <row r="192" spans="1:26" ht="20.25" customHeight="1" thickBot="1">
      <c r="A192" s="130" t="s">
        <v>251</v>
      </c>
      <c r="B192" s="139">
        <f t="shared" ref="B192:Y192" si="41">B186+B191</f>
        <v>0</v>
      </c>
      <c r="C192" s="139">
        <f t="shared" si="41"/>
        <v>0</v>
      </c>
      <c r="D192" s="139">
        <f t="shared" si="41"/>
        <v>0</v>
      </c>
      <c r="E192" s="139">
        <f t="shared" si="41"/>
        <v>0</v>
      </c>
      <c r="F192" s="139">
        <f t="shared" si="41"/>
        <v>0</v>
      </c>
      <c r="G192" s="139">
        <f t="shared" si="41"/>
        <v>0</v>
      </c>
      <c r="H192" s="139">
        <f t="shared" si="41"/>
        <v>0</v>
      </c>
      <c r="I192" s="139">
        <f t="shared" si="41"/>
        <v>0</v>
      </c>
      <c r="J192" s="139">
        <f t="shared" si="41"/>
        <v>0</v>
      </c>
      <c r="K192" s="139">
        <f t="shared" si="41"/>
        <v>0</v>
      </c>
      <c r="L192" s="139">
        <f t="shared" si="41"/>
        <v>0</v>
      </c>
      <c r="M192" s="139">
        <f t="shared" si="41"/>
        <v>0</v>
      </c>
      <c r="N192" s="139">
        <f t="shared" si="41"/>
        <v>0</v>
      </c>
      <c r="O192" s="139">
        <f t="shared" si="41"/>
        <v>0</v>
      </c>
      <c r="P192" s="139">
        <f t="shared" si="41"/>
        <v>0</v>
      </c>
      <c r="Q192" s="139">
        <f t="shared" si="41"/>
        <v>0</v>
      </c>
      <c r="R192" s="139">
        <f t="shared" si="41"/>
        <v>0</v>
      </c>
      <c r="S192" s="139">
        <f t="shared" si="41"/>
        <v>0</v>
      </c>
      <c r="T192" s="139">
        <f t="shared" si="41"/>
        <v>0</v>
      </c>
      <c r="U192" s="139">
        <f t="shared" si="41"/>
        <v>0</v>
      </c>
      <c r="V192" s="139">
        <f t="shared" si="41"/>
        <v>0</v>
      </c>
      <c r="W192" s="139">
        <f t="shared" si="41"/>
        <v>0</v>
      </c>
      <c r="X192" s="139">
        <f t="shared" si="41"/>
        <v>0</v>
      </c>
      <c r="Y192" s="139">
        <f t="shared" si="41"/>
        <v>0</v>
      </c>
      <c r="Z192" s="146">
        <f>+Z186+Z191</f>
        <v>0</v>
      </c>
    </row>
    <row r="193" spans="1:26" ht="20.25" customHeight="1" thickBot="1">
      <c r="A193" s="128" t="s">
        <v>250</v>
      </c>
      <c r="B193" s="162">
        <f>B185+B192</f>
        <v>0</v>
      </c>
      <c r="C193" s="162">
        <f t="shared" ref="C193:M193" si="42">C185+C192</f>
        <v>0</v>
      </c>
      <c r="D193" s="162">
        <f t="shared" si="42"/>
        <v>0</v>
      </c>
      <c r="E193" s="162">
        <f t="shared" si="42"/>
        <v>0</v>
      </c>
      <c r="F193" s="162">
        <f t="shared" si="42"/>
        <v>0</v>
      </c>
      <c r="G193" s="162">
        <f t="shared" si="42"/>
        <v>0</v>
      </c>
      <c r="H193" s="162">
        <f t="shared" si="42"/>
        <v>0</v>
      </c>
      <c r="I193" s="162">
        <f t="shared" si="42"/>
        <v>0</v>
      </c>
      <c r="J193" s="162">
        <f t="shared" si="42"/>
        <v>0</v>
      </c>
      <c r="K193" s="162">
        <f t="shared" si="42"/>
        <v>0</v>
      </c>
      <c r="L193" s="162">
        <f t="shared" si="42"/>
        <v>0</v>
      </c>
      <c r="M193" s="162">
        <f t="shared" si="42"/>
        <v>1550900</v>
      </c>
      <c r="N193" s="162">
        <f>N185+N192</f>
        <v>0</v>
      </c>
      <c r="O193" s="162">
        <f t="shared" ref="O193" si="43">O185+O192</f>
        <v>0</v>
      </c>
      <c r="P193" s="162">
        <f t="shared" ref="P193" si="44">P185+P192</f>
        <v>0</v>
      </c>
      <c r="Q193" s="162">
        <f t="shared" ref="Q193" si="45">Q185+Q192</f>
        <v>0</v>
      </c>
      <c r="R193" s="162">
        <f t="shared" ref="R193" si="46">R185+R192</f>
        <v>0</v>
      </c>
      <c r="S193" s="162">
        <f t="shared" ref="S193" si="47">S185+S192</f>
        <v>0</v>
      </c>
      <c r="T193" s="162">
        <f t="shared" ref="T193" si="48">T185+T192</f>
        <v>0</v>
      </c>
      <c r="U193" s="162">
        <f t="shared" ref="U193" si="49">U185+U192</f>
        <v>0</v>
      </c>
      <c r="V193" s="162">
        <f t="shared" ref="V193" si="50">V185+V192</f>
        <v>0</v>
      </c>
      <c r="W193" s="162">
        <f t="shared" ref="W193" si="51">W185+W192</f>
        <v>0</v>
      </c>
      <c r="X193" s="162">
        <f t="shared" ref="X193" si="52">X185+X192</f>
        <v>0</v>
      </c>
      <c r="Y193" s="162">
        <f>Y185+Y192</f>
        <v>0</v>
      </c>
      <c r="Z193" s="162">
        <f t="shared" ref="Z193:Z194" si="53">Z185+Z192</f>
        <v>1550900</v>
      </c>
    </row>
    <row r="194" spans="1:26" ht="20.25" customHeight="1" thickBot="1">
      <c r="A194" s="130" t="s">
        <v>251</v>
      </c>
      <c r="B194" s="167">
        <f>B185+B192</f>
        <v>0</v>
      </c>
      <c r="C194" s="167">
        <f t="shared" ref="C194:N194" si="54">C185+C192</f>
        <v>0</v>
      </c>
      <c r="D194" s="167">
        <f t="shared" si="54"/>
        <v>0</v>
      </c>
      <c r="E194" s="167">
        <f t="shared" si="54"/>
        <v>0</v>
      </c>
      <c r="F194" s="167">
        <f t="shared" si="54"/>
        <v>0</v>
      </c>
      <c r="G194" s="167">
        <f t="shared" si="54"/>
        <v>0</v>
      </c>
      <c r="H194" s="167">
        <f t="shared" si="54"/>
        <v>0</v>
      </c>
      <c r="I194" s="167">
        <f t="shared" si="54"/>
        <v>0</v>
      </c>
      <c r="J194" s="167">
        <f t="shared" si="54"/>
        <v>0</v>
      </c>
      <c r="K194" s="167">
        <f t="shared" si="54"/>
        <v>0</v>
      </c>
      <c r="L194" s="167">
        <f t="shared" si="54"/>
        <v>0</v>
      </c>
      <c r="M194" s="167">
        <f t="shared" si="54"/>
        <v>1550900</v>
      </c>
      <c r="N194" s="167">
        <f t="shared" si="54"/>
        <v>0</v>
      </c>
      <c r="O194" s="167">
        <f t="shared" ref="O194:Y194" si="55">O60+O69+O80+O101+O109+O123+O143+O153+O162+O185+O192</f>
        <v>0</v>
      </c>
      <c r="P194" s="167">
        <f t="shared" si="55"/>
        <v>0</v>
      </c>
      <c r="Q194" s="167">
        <f t="shared" si="55"/>
        <v>0</v>
      </c>
      <c r="R194" s="167">
        <f t="shared" si="55"/>
        <v>0</v>
      </c>
      <c r="S194" s="167">
        <f t="shared" si="55"/>
        <v>0</v>
      </c>
      <c r="T194" s="167">
        <f t="shared" si="55"/>
        <v>0</v>
      </c>
      <c r="U194" s="167">
        <f t="shared" si="55"/>
        <v>0</v>
      </c>
      <c r="V194" s="167">
        <f t="shared" si="55"/>
        <v>0</v>
      </c>
      <c r="W194" s="167">
        <f t="shared" si="55"/>
        <v>0</v>
      </c>
      <c r="X194" s="167">
        <f t="shared" si="55"/>
        <v>20530</v>
      </c>
      <c r="Y194" s="167">
        <f t="shared" si="55"/>
        <v>0</v>
      </c>
      <c r="Z194" s="162">
        <f t="shared" si="53"/>
        <v>1550900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8:Z88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7:Z87"/>
    <mergeCell ref="A89:Z89"/>
    <mergeCell ref="B90:C90"/>
    <mergeCell ref="D90:E90"/>
    <mergeCell ref="F90:H90"/>
    <mergeCell ref="I90:J90"/>
    <mergeCell ref="K90:L90"/>
    <mergeCell ref="M90:O90"/>
    <mergeCell ref="P90:Q90"/>
    <mergeCell ref="R90:T90"/>
    <mergeCell ref="V90:W90"/>
    <mergeCell ref="P133:Q133"/>
    <mergeCell ref="R133:T133"/>
    <mergeCell ref="V133:W133"/>
    <mergeCell ref="Z133:Z134"/>
    <mergeCell ref="Z90:Z91"/>
    <mergeCell ref="A130:Z130"/>
    <mergeCell ref="A131:Z131"/>
    <mergeCell ref="A132:Z132"/>
    <mergeCell ref="B133:C133"/>
    <mergeCell ref="D133:E133"/>
    <mergeCell ref="F133:H133"/>
    <mergeCell ref="I133:J133"/>
    <mergeCell ref="K133:L133"/>
    <mergeCell ref="M133:O133"/>
    <mergeCell ref="A173:Z173"/>
    <mergeCell ref="A174:Z174"/>
    <mergeCell ref="A175:Z175"/>
    <mergeCell ref="B176:C176"/>
    <mergeCell ref="D176:E176"/>
    <mergeCell ref="F176:H176"/>
    <mergeCell ref="I176:J176"/>
    <mergeCell ref="K176:L176"/>
    <mergeCell ref="M176:O176"/>
    <mergeCell ref="P176:Q176"/>
    <mergeCell ref="R176:T176"/>
    <mergeCell ref="V176:W176"/>
    <mergeCell ref="Z176:Z177"/>
  </mergeCells>
  <pageMargins left="0.17" right="0.17" top="0.43307086614173201" bottom="0.56000000000000005" header="0.31496062992126" footer="0.31496062992126"/>
  <pageSetup paperSize="9" scale="6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RowHeight="19.5"/>
  <cols>
    <col min="1" max="1" width="6" style="235" customWidth="1"/>
    <col min="2" max="2" width="8.7109375" style="235" customWidth="1"/>
    <col min="3" max="6" width="9.140625" style="236"/>
    <col min="7" max="7" width="9.28515625" style="236" customWidth="1"/>
    <col min="8" max="22" width="9.140625" style="236"/>
    <col min="23" max="23" width="9.140625" style="237"/>
    <col min="24" max="24" width="9.140625" style="233"/>
    <col min="25" max="25" width="9.140625" style="234"/>
    <col min="26" max="16384" width="9.140625" style="235"/>
  </cols>
  <sheetData>
    <row r="1" spans="1:26">
      <c r="A1" s="523" t="s">
        <v>303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</row>
    <row r="2" spans="1:26">
      <c r="A2" s="523" t="s">
        <v>210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</row>
    <row r="3" spans="1:26">
      <c r="A3" s="523" t="s">
        <v>304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</row>
    <row r="4" spans="1:26">
      <c r="A4" s="523" t="s">
        <v>305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</row>
    <row r="6" spans="1:26">
      <c r="A6" s="238"/>
      <c r="B6" s="239"/>
      <c r="C6" s="240" t="s">
        <v>224</v>
      </c>
      <c r="D6" s="516" t="s">
        <v>213</v>
      </c>
      <c r="E6" s="517"/>
      <c r="F6" s="516" t="s">
        <v>214</v>
      </c>
      <c r="G6" s="517"/>
      <c r="H6" s="516" t="s">
        <v>215</v>
      </c>
      <c r="I6" s="517"/>
      <c r="J6" s="516" t="s">
        <v>216</v>
      </c>
      <c r="K6" s="517"/>
      <c r="L6" s="516" t="s">
        <v>217</v>
      </c>
      <c r="M6" s="517"/>
      <c r="N6" s="516" t="s">
        <v>218</v>
      </c>
      <c r="O6" s="518"/>
      <c r="P6" s="516" t="s">
        <v>219</v>
      </c>
      <c r="Q6" s="517"/>
      <c r="R6" s="516" t="s">
        <v>220</v>
      </c>
      <c r="S6" s="518"/>
      <c r="T6" s="240" t="s">
        <v>306</v>
      </c>
      <c r="U6" s="240" t="s">
        <v>222</v>
      </c>
      <c r="V6" s="240" t="s">
        <v>223</v>
      </c>
      <c r="W6" s="519" t="s">
        <v>55</v>
      </c>
    </row>
    <row r="7" spans="1:26">
      <c r="A7" s="241"/>
      <c r="B7" s="242"/>
      <c r="C7" s="240" t="s">
        <v>249</v>
      </c>
      <c r="D7" s="243" t="s">
        <v>226</v>
      </c>
      <c r="E7" s="244" t="s">
        <v>227</v>
      </c>
      <c r="F7" s="240" t="s">
        <v>228</v>
      </c>
      <c r="G7" s="240" t="s">
        <v>229</v>
      </c>
      <c r="H7" s="240" t="s">
        <v>230</v>
      </c>
      <c r="I7" s="240" t="s">
        <v>231</v>
      </c>
      <c r="J7" s="240" t="s">
        <v>233</v>
      </c>
      <c r="K7" s="240" t="s">
        <v>234</v>
      </c>
      <c r="L7" s="240" t="s">
        <v>235</v>
      </c>
      <c r="M7" s="240" t="s">
        <v>236</v>
      </c>
      <c r="N7" s="245" t="s">
        <v>237</v>
      </c>
      <c r="O7" s="240" t="s">
        <v>238</v>
      </c>
      <c r="P7" s="240" t="s">
        <v>240</v>
      </c>
      <c r="Q7" s="240" t="s">
        <v>241</v>
      </c>
      <c r="R7" s="240" t="s">
        <v>242</v>
      </c>
      <c r="S7" s="240" t="s">
        <v>243</v>
      </c>
      <c r="T7" s="240" t="s">
        <v>307</v>
      </c>
      <c r="U7" s="240" t="s">
        <v>246</v>
      </c>
      <c r="V7" s="240" t="s">
        <v>248</v>
      </c>
      <c r="W7" s="520"/>
    </row>
    <row r="8" spans="1:26">
      <c r="A8" s="246" t="s">
        <v>205</v>
      </c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</row>
    <row r="9" spans="1:26">
      <c r="A9" s="246"/>
      <c r="B9" s="247" t="s">
        <v>308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>
        <f>SUM(C9:V9)</f>
        <v>0</v>
      </c>
    </row>
    <row r="10" spans="1:26">
      <c r="A10" s="246"/>
      <c r="B10" s="247" t="s">
        <v>309</v>
      </c>
      <c r="C10" s="248">
        <v>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>
        <f t="shared" ref="W10:W16" si="0">SUM(C10:V10)</f>
        <v>0</v>
      </c>
    </row>
    <row r="11" spans="1:26">
      <c r="A11" s="246"/>
      <c r="B11" s="247" t="s">
        <v>310</v>
      </c>
      <c r="C11" s="248">
        <v>0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>
        <f t="shared" si="0"/>
        <v>0</v>
      </c>
    </row>
    <row r="12" spans="1:26">
      <c r="A12" s="246"/>
      <c r="B12" s="247" t="s">
        <v>311</v>
      </c>
      <c r="C12" s="248">
        <v>0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>
        <f t="shared" si="0"/>
        <v>0</v>
      </c>
    </row>
    <row r="13" spans="1:26">
      <c r="A13" s="246"/>
      <c r="B13" s="247" t="s">
        <v>312</v>
      </c>
      <c r="C13" s="248">
        <v>0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>
        <f t="shared" si="0"/>
        <v>0</v>
      </c>
    </row>
    <row r="14" spans="1:26">
      <c r="A14" s="250"/>
      <c r="B14" s="247" t="s">
        <v>313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>
        <f t="shared" si="0"/>
        <v>0</v>
      </c>
    </row>
    <row r="15" spans="1:26" s="257" customFormat="1" ht="18.75">
      <c r="A15" s="251"/>
      <c r="B15" s="252" t="s">
        <v>250</v>
      </c>
      <c r="C15" s="253">
        <f>SUM(C9:C14)</f>
        <v>0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>
        <f>SUM(W9:W14)</f>
        <v>0</v>
      </c>
      <c r="X15" s="255"/>
      <c r="Y15" s="256"/>
    </row>
    <row r="16" spans="1:26" s="257" customFormat="1" thickBot="1">
      <c r="A16" s="258"/>
      <c r="B16" s="259" t="s">
        <v>314</v>
      </c>
      <c r="C16" s="260">
        <f>0</f>
        <v>0</v>
      </c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>
        <f t="shared" si="0"/>
        <v>0</v>
      </c>
      <c r="X16" s="255"/>
      <c r="Y16" s="256"/>
      <c r="Z16" s="262"/>
    </row>
    <row r="17" spans="1:26" ht="20.25" thickTop="1">
      <c r="A17" s="263" t="s">
        <v>135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</row>
    <row r="18" spans="1:26">
      <c r="A18" s="263"/>
      <c r="B18" s="264" t="s">
        <v>315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49">
        <f t="shared" ref="W18:W24" si="1">SUM(C18:V18)</f>
        <v>0</v>
      </c>
      <c r="Y18" s="267"/>
    </row>
    <row r="19" spans="1:26">
      <c r="A19" s="250"/>
      <c r="B19" s="247" t="s">
        <v>316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9">
        <f t="shared" si="1"/>
        <v>0</v>
      </c>
    </row>
    <row r="20" spans="1:26">
      <c r="A20" s="250"/>
      <c r="B20" s="247" t="s">
        <v>194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>
        <f t="shared" si="1"/>
        <v>0</v>
      </c>
    </row>
    <row r="21" spans="1:26">
      <c r="A21" s="250"/>
      <c r="B21" s="247" t="s">
        <v>172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>
        <f t="shared" si="1"/>
        <v>0</v>
      </c>
    </row>
    <row r="22" spans="1:26">
      <c r="A22" s="250"/>
      <c r="B22" s="247" t="s">
        <v>197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>
        <f t="shared" si="1"/>
        <v>0</v>
      </c>
    </row>
    <row r="23" spans="1:26" s="257" customFormat="1" ht="18.75">
      <c r="A23" s="251"/>
      <c r="B23" s="252" t="s">
        <v>250</v>
      </c>
      <c r="C23" s="253"/>
      <c r="D23" s="253">
        <f>SUM(D18:D22)</f>
        <v>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>
        <f t="shared" si="1"/>
        <v>0</v>
      </c>
      <c r="X23" s="255"/>
      <c r="Y23" s="256"/>
    </row>
    <row r="24" spans="1:26" s="257" customFormat="1" thickBot="1">
      <c r="A24" s="258"/>
      <c r="B24" s="259" t="s">
        <v>314</v>
      </c>
      <c r="C24" s="260"/>
      <c r="D24" s="260">
        <f>0</f>
        <v>0</v>
      </c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>
        <f t="shared" si="1"/>
        <v>0</v>
      </c>
      <c r="X24" s="255"/>
      <c r="Y24" s="256"/>
      <c r="Z24" s="262"/>
    </row>
    <row r="25" spans="1:26" ht="20.25" thickTop="1">
      <c r="A25" s="268" t="s">
        <v>136</v>
      </c>
      <c r="B25" s="269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1"/>
    </row>
    <row r="26" spans="1:26">
      <c r="A26" s="272"/>
      <c r="B26" s="264" t="s">
        <v>317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54">
        <f>SUM(C26:V26)</f>
        <v>0</v>
      </c>
    </row>
    <row r="27" spans="1:26">
      <c r="A27" s="272"/>
      <c r="B27" s="247" t="s">
        <v>318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54">
        <f t="shared" ref="W27:W34" si="2">SUM(C27:V27)</f>
        <v>0</v>
      </c>
    </row>
    <row r="28" spans="1:26">
      <c r="A28" s="272"/>
      <c r="B28" s="247" t="s">
        <v>319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54">
        <f t="shared" si="2"/>
        <v>0</v>
      </c>
    </row>
    <row r="29" spans="1:26">
      <c r="A29" s="272"/>
      <c r="B29" s="247" t="s">
        <v>320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54">
        <f t="shared" si="2"/>
        <v>0</v>
      </c>
    </row>
    <row r="30" spans="1:26">
      <c r="A30" s="272"/>
      <c r="B30" s="247" t="s">
        <v>321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54">
        <f t="shared" si="2"/>
        <v>0</v>
      </c>
    </row>
    <row r="31" spans="1:26">
      <c r="A31" s="272"/>
      <c r="B31" s="247" t="s">
        <v>322</v>
      </c>
      <c r="C31" s="265"/>
      <c r="D31" s="265"/>
      <c r="E31" s="265"/>
      <c r="F31" s="265"/>
      <c r="G31" s="265"/>
      <c r="H31" s="265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54">
        <f t="shared" si="2"/>
        <v>0</v>
      </c>
    </row>
    <row r="32" spans="1:26">
      <c r="A32" s="272"/>
      <c r="B32" s="264" t="s">
        <v>323</v>
      </c>
      <c r="C32" s="265"/>
      <c r="D32" s="265">
        <v>0</v>
      </c>
      <c r="E32" s="265">
        <v>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54">
        <f t="shared" si="2"/>
        <v>0</v>
      </c>
    </row>
    <row r="33" spans="1:26">
      <c r="A33" s="272"/>
      <c r="B33" s="264" t="s">
        <v>324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54">
        <f t="shared" si="2"/>
        <v>0</v>
      </c>
    </row>
    <row r="34" spans="1:26">
      <c r="A34" s="272"/>
      <c r="B34" s="264" t="s">
        <v>325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54">
        <f t="shared" si="2"/>
        <v>0</v>
      </c>
    </row>
    <row r="35" spans="1:26" s="257" customFormat="1" ht="18.75">
      <c r="A35" s="251"/>
      <c r="B35" s="252" t="s">
        <v>250</v>
      </c>
      <c r="C35" s="253"/>
      <c r="D35" s="253">
        <f>SUM(D26:D34)</f>
        <v>0</v>
      </c>
      <c r="E35" s="253">
        <f>SUM(E26:E34)</f>
        <v>0</v>
      </c>
      <c r="F35" s="253">
        <f t="shared" ref="F35:N35" si="3">SUM(F26:F34)</f>
        <v>0</v>
      </c>
      <c r="G35" s="253">
        <f t="shared" si="3"/>
        <v>0</v>
      </c>
      <c r="H35" s="253">
        <f t="shared" si="3"/>
        <v>0</v>
      </c>
      <c r="I35" s="253">
        <f t="shared" si="3"/>
        <v>0</v>
      </c>
      <c r="J35" s="253">
        <f t="shared" si="3"/>
        <v>0</v>
      </c>
      <c r="K35" s="253">
        <f t="shared" si="3"/>
        <v>0</v>
      </c>
      <c r="L35" s="253">
        <f t="shared" si="3"/>
        <v>0</v>
      </c>
      <c r="M35" s="253">
        <f t="shared" si="3"/>
        <v>0</v>
      </c>
      <c r="N35" s="253">
        <f t="shared" si="3"/>
        <v>0</v>
      </c>
      <c r="O35" s="253"/>
      <c r="P35" s="253"/>
      <c r="Q35" s="253"/>
      <c r="R35" s="253"/>
      <c r="S35" s="253"/>
      <c r="T35" s="253"/>
      <c r="U35" s="253"/>
      <c r="V35" s="253"/>
      <c r="W35" s="254">
        <f>SUM(C35:V35)</f>
        <v>0</v>
      </c>
      <c r="X35" s="255"/>
      <c r="Y35" s="256"/>
    </row>
    <row r="36" spans="1:26" s="257" customFormat="1" thickBot="1">
      <c r="A36" s="258"/>
      <c r="B36" s="259" t="s">
        <v>314</v>
      </c>
      <c r="C36" s="260"/>
      <c r="D36" s="260"/>
      <c r="E36" s="260"/>
      <c r="F36" s="260"/>
      <c r="G36" s="260"/>
      <c r="H36" s="260"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1">
        <f>SUM(C36:V36)</f>
        <v>0</v>
      </c>
      <c r="X36" s="255"/>
      <c r="Y36" s="256"/>
      <c r="Z36" s="262"/>
    </row>
    <row r="37" spans="1:26" s="278" customFormat="1" ht="20.25" thickTop="1">
      <c r="A37" s="273" t="s">
        <v>137</v>
      </c>
      <c r="B37" s="274"/>
      <c r="C37" s="275"/>
      <c r="D37" s="275"/>
      <c r="E37" s="275"/>
      <c r="F37" s="275"/>
      <c r="G37" s="275"/>
      <c r="H37" s="275" t="s">
        <v>285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54">
        <f t="shared" ref="W37:W44" si="4">SUM(C37:V37)</f>
        <v>0</v>
      </c>
      <c r="X37" s="276"/>
      <c r="Y37" s="277"/>
    </row>
    <row r="38" spans="1:26" s="278" customFormat="1">
      <c r="A38" s="279"/>
      <c r="B38" s="280" t="s">
        <v>326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54">
        <f t="shared" si="4"/>
        <v>0</v>
      </c>
      <c r="X38" s="276"/>
      <c r="Y38" s="277"/>
    </row>
    <row r="39" spans="1:26" s="278" customFormat="1">
      <c r="A39" s="279"/>
      <c r="B39" s="280" t="s">
        <v>327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54">
        <f t="shared" si="4"/>
        <v>0</v>
      </c>
      <c r="X39" s="276"/>
      <c r="Y39" s="277"/>
    </row>
    <row r="40" spans="1:26" s="278" customFormat="1">
      <c r="A40" s="279"/>
      <c r="B40" s="280" t="s">
        <v>328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54">
        <f t="shared" si="4"/>
        <v>0</v>
      </c>
      <c r="X40" s="276"/>
      <c r="Y40" s="277"/>
    </row>
    <row r="41" spans="1:26" s="278" customFormat="1">
      <c r="A41" s="279"/>
      <c r="B41" s="280" t="s">
        <v>329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54">
        <f t="shared" si="4"/>
        <v>0</v>
      </c>
      <c r="X41" s="276"/>
      <c r="Y41" s="277"/>
    </row>
    <row r="42" spans="1:26" s="278" customFormat="1">
      <c r="A42" s="279"/>
      <c r="B42" s="280" t="s">
        <v>330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54">
        <f t="shared" si="4"/>
        <v>0</v>
      </c>
      <c r="X42" s="276"/>
      <c r="Y42" s="277"/>
    </row>
    <row r="43" spans="1:26" s="278" customFormat="1">
      <c r="A43" s="279"/>
      <c r="B43" s="280" t="s">
        <v>331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54">
        <f t="shared" si="4"/>
        <v>0</v>
      </c>
      <c r="X43" s="276"/>
      <c r="Y43" s="277"/>
    </row>
    <row r="44" spans="1:26" s="287" customFormat="1" ht="18.75">
      <c r="A44" s="282"/>
      <c r="B44" s="283" t="s">
        <v>250</v>
      </c>
      <c r="C44" s="284"/>
      <c r="D44" s="284">
        <f>SUM(D38:D43)</f>
        <v>0</v>
      </c>
      <c r="E44" s="284">
        <f>SUM(E38:E43)</f>
        <v>0</v>
      </c>
      <c r="F44" s="284"/>
      <c r="G44" s="284"/>
      <c r="H44" s="284"/>
      <c r="I44" s="284"/>
      <c r="J44" s="284"/>
      <c r="K44" s="284"/>
      <c r="L44" s="284"/>
      <c r="M44" s="284"/>
      <c r="N44" s="284">
        <f>SUM(N38:N43)</f>
        <v>0</v>
      </c>
      <c r="O44" s="284"/>
      <c r="P44" s="284"/>
      <c r="Q44" s="284"/>
      <c r="R44" s="284"/>
      <c r="S44" s="284"/>
      <c r="T44" s="284"/>
      <c r="U44" s="284"/>
      <c r="V44" s="284"/>
      <c r="W44" s="254">
        <f t="shared" si="4"/>
        <v>0</v>
      </c>
      <c r="X44" s="285"/>
      <c r="Y44" s="286"/>
    </row>
    <row r="45" spans="1:26" s="287" customFormat="1" thickBot="1">
      <c r="A45" s="288"/>
      <c r="B45" s="289" t="s">
        <v>314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61">
        <f>SUM(C45:V45)</f>
        <v>0</v>
      </c>
      <c r="X45" s="291"/>
      <c r="Y45" s="286"/>
      <c r="Z45" s="262"/>
    </row>
    <row r="46" spans="1:26" ht="20.25" thickTop="1">
      <c r="A46" s="273" t="s">
        <v>138</v>
      </c>
      <c r="B46" s="274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92"/>
    </row>
    <row r="47" spans="1:26">
      <c r="A47" s="273"/>
      <c r="B47" s="274" t="s">
        <v>332</v>
      </c>
      <c r="C47" s="275"/>
      <c r="D47" s="275"/>
      <c r="E47" s="275"/>
      <c r="F47" s="293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92">
        <f>SUM(C47:V47)</f>
        <v>0</v>
      </c>
      <c r="Y47" s="267"/>
    </row>
    <row r="48" spans="1:26">
      <c r="A48" s="273"/>
      <c r="B48" s="274" t="s">
        <v>333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92">
        <f>SUM(C48:V48)</f>
        <v>0</v>
      </c>
    </row>
    <row r="49" spans="1:28">
      <c r="A49" s="273"/>
      <c r="B49" s="274" t="s">
        <v>334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92">
        <f>SUM(C49:V49)</f>
        <v>0</v>
      </c>
    </row>
    <row r="50" spans="1:28">
      <c r="A50" s="279"/>
      <c r="B50" s="280" t="s">
        <v>335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94">
        <f>SUM(C50:V50)</f>
        <v>0</v>
      </c>
      <c r="AB50" s="295"/>
    </row>
    <row r="51" spans="1:28" s="302" customFormat="1" ht="18.75">
      <c r="A51" s="296"/>
      <c r="B51" s="297" t="s">
        <v>250</v>
      </c>
      <c r="C51" s="298"/>
      <c r="D51" s="298">
        <f>SUM(D47:D50)</f>
        <v>0</v>
      </c>
      <c r="E51" s="298">
        <f>SUM(E47:E50)</f>
        <v>0</v>
      </c>
      <c r="F51" s="298"/>
      <c r="G51" s="298">
        <f>SUM(G47:G50)</f>
        <v>0</v>
      </c>
      <c r="H51" s="298">
        <f>SUM(H47:H50)</f>
        <v>0</v>
      </c>
      <c r="I51" s="298">
        <f>SUM(I47:I50)</f>
        <v>0</v>
      </c>
      <c r="J51" s="298">
        <f>SUM(J47:J50)</f>
        <v>0</v>
      </c>
      <c r="K51" s="298">
        <f>SUM(K47:K50)</f>
        <v>0</v>
      </c>
      <c r="L51" s="298"/>
      <c r="M51" s="298"/>
      <c r="N51" s="298">
        <f t="shared" ref="N51:S51" si="5">SUM(N47:N50)</f>
        <v>0</v>
      </c>
      <c r="O51" s="298">
        <f t="shared" si="5"/>
        <v>0</v>
      </c>
      <c r="P51" s="298">
        <f t="shared" si="5"/>
        <v>0</v>
      </c>
      <c r="Q51" s="298">
        <f t="shared" si="5"/>
        <v>0</v>
      </c>
      <c r="R51" s="298">
        <f t="shared" si="5"/>
        <v>0</v>
      </c>
      <c r="S51" s="298">
        <f t="shared" si="5"/>
        <v>0</v>
      </c>
      <c r="T51" s="298"/>
      <c r="U51" s="298"/>
      <c r="V51" s="298">
        <f>SUM(V47:V50)</f>
        <v>0</v>
      </c>
      <c r="W51" s="299">
        <f>SUM(W47:W50)</f>
        <v>0</v>
      </c>
      <c r="X51" s="300"/>
      <c r="Y51" s="301"/>
    </row>
    <row r="52" spans="1:28" s="302" customFormat="1" thickBot="1">
      <c r="A52" s="303"/>
      <c r="B52" s="304" t="s">
        <v>314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300"/>
      <c r="Y52" s="301"/>
      <c r="Z52" s="262"/>
      <c r="AA52" s="307"/>
    </row>
    <row r="53" spans="1:28" s="310" customFormat="1" ht="20.25" thickTop="1">
      <c r="A53" s="273" t="s">
        <v>139</v>
      </c>
      <c r="B53" s="274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92"/>
      <c r="X53" s="308"/>
      <c r="Y53" s="309"/>
      <c r="Z53" s="235"/>
    </row>
    <row r="54" spans="1:28" s="310" customFormat="1">
      <c r="A54" s="273"/>
      <c r="B54" s="274" t="s">
        <v>336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92">
        <f t="shared" ref="W54:W66" si="6">SUM(C54:V54)</f>
        <v>0</v>
      </c>
      <c r="X54" s="308"/>
      <c r="Y54" s="309"/>
      <c r="Z54" s="235"/>
    </row>
    <row r="55" spans="1:28" s="310" customFormat="1">
      <c r="A55" s="273"/>
      <c r="B55" s="274" t="s">
        <v>337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92"/>
      <c r="X55" s="308"/>
      <c r="Y55" s="309"/>
    </row>
    <row r="56" spans="1:28" s="310" customFormat="1">
      <c r="A56" s="273"/>
      <c r="B56" s="274" t="s">
        <v>338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92">
        <f t="shared" si="6"/>
        <v>0</v>
      </c>
      <c r="X56" s="308"/>
      <c r="Y56" s="311"/>
    </row>
    <row r="57" spans="1:28" s="310" customFormat="1">
      <c r="A57" s="273"/>
      <c r="B57" s="274" t="s">
        <v>339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92"/>
      <c r="X57" s="308"/>
      <c r="Y57" s="311"/>
    </row>
    <row r="58" spans="1:28" s="310" customFormat="1">
      <c r="A58" s="273"/>
      <c r="B58" s="274" t="s">
        <v>340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92">
        <f t="shared" si="6"/>
        <v>0</v>
      </c>
      <c r="X58" s="308"/>
      <c r="Y58" s="311"/>
    </row>
    <row r="59" spans="1:28" s="310" customFormat="1">
      <c r="A59" s="273"/>
      <c r="B59" s="274" t="s">
        <v>341</v>
      </c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92">
        <f t="shared" si="6"/>
        <v>0</v>
      </c>
      <c r="X59" s="308"/>
      <c r="Y59" s="311"/>
    </row>
    <row r="60" spans="1:28" s="310" customFormat="1">
      <c r="A60" s="273"/>
      <c r="B60" s="274" t="s">
        <v>342</v>
      </c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92">
        <f t="shared" si="6"/>
        <v>0</v>
      </c>
      <c r="X60" s="308"/>
      <c r="Y60" s="311"/>
    </row>
    <row r="61" spans="1:28" s="310" customFormat="1">
      <c r="A61" s="273"/>
      <c r="B61" s="274" t="s">
        <v>343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92">
        <f t="shared" si="6"/>
        <v>0</v>
      </c>
      <c r="X61" s="308"/>
      <c r="Y61" s="311"/>
    </row>
    <row r="62" spans="1:28" s="310" customFormat="1">
      <c r="A62" s="273"/>
      <c r="B62" s="274" t="s">
        <v>344</v>
      </c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92">
        <f t="shared" si="6"/>
        <v>0</v>
      </c>
      <c r="X62" s="308"/>
      <c r="Y62" s="311"/>
    </row>
    <row r="63" spans="1:28" s="310" customFormat="1">
      <c r="A63" s="273"/>
      <c r="B63" s="274" t="s">
        <v>345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92">
        <f t="shared" si="6"/>
        <v>0</v>
      </c>
      <c r="X63" s="308"/>
      <c r="Y63" s="311"/>
    </row>
    <row r="64" spans="1:28" s="310" customFormat="1">
      <c r="A64" s="273"/>
      <c r="B64" s="274" t="s">
        <v>346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92">
        <f t="shared" si="6"/>
        <v>0</v>
      </c>
      <c r="X64" s="308"/>
      <c r="Y64" s="311"/>
    </row>
    <row r="65" spans="1:27" s="310" customFormat="1">
      <c r="A65" s="273"/>
      <c r="B65" s="274" t="s">
        <v>347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92">
        <f t="shared" si="6"/>
        <v>0</v>
      </c>
      <c r="X65" s="308"/>
      <c r="Y65" s="311"/>
    </row>
    <row r="66" spans="1:27" s="310" customFormat="1">
      <c r="A66" s="273"/>
      <c r="B66" s="274" t="s">
        <v>348</v>
      </c>
      <c r="C66" s="275"/>
      <c r="D66" s="275"/>
      <c r="E66" s="275"/>
      <c r="F66" s="275"/>
      <c r="G66" s="275"/>
      <c r="H66" s="275">
        <v>0</v>
      </c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>
        <v>0</v>
      </c>
      <c r="W66" s="292">
        <f t="shared" si="6"/>
        <v>0</v>
      </c>
      <c r="X66" s="308"/>
      <c r="Y66" s="311"/>
    </row>
    <row r="67" spans="1:27" s="315" customFormat="1" ht="18.75">
      <c r="A67" s="282"/>
      <c r="B67" s="283" t="s">
        <v>250</v>
      </c>
      <c r="C67" s="284"/>
      <c r="D67" s="284">
        <f>SUM(D54:D64)</f>
        <v>0</v>
      </c>
      <c r="E67" s="284">
        <f t="shared" ref="E67:M67" si="7">SUM(E54:E66)</f>
        <v>0</v>
      </c>
      <c r="F67" s="284">
        <f t="shared" si="7"/>
        <v>0</v>
      </c>
      <c r="G67" s="284">
        <f t="shared" si="7"/>
        <v>0</v>
      </c>
      <c r="H67" s="284">
        <f t="shared" si="7"/>
        <v>0</v>
      </c>
      <c r="I67" s="284">
        <f t="shared" si="7"/>
        <v>0</v>
      </c>
      <c r="J67" s="284">
        <f t="shared" si="7"/>
        <v>0</v>
      </c>
      <c r="K67" s="284">
        <f t="shared" si="7"/>
        <v>0</v>
      </c>
      <c r="L67" s="284">
        <f t="shared" si="7"/>
        <v>0</v>
      </c>
      <c r="M67" s="284">
        <f t="shared" si="7"/>
        <v>0</v>
      </c>
      <c r="N67" s="284">
        <f>SUM(N54:N66)</f>
        <v>0</v>
      </c>
      <c r="O67" s="284"/>
      <c r="P67" s="284"/>
      <c r="Q67" s="284"/>
      <c r="R67" s="284"/>
      <c r="S67" s="284">
        <f>SUM(S54:S65)</f>
        <v>0</v>
      </c>
      <c r="T67" s="284"/>
      <c r="U67" s="284">
        <f>SUM(U53:U66)</f>
        <v>0</v>
      </c>
      <c r="V67" s="284">
        <f>SUM(V53:V66)</f>
        <v>0</v>
      </c>
      <c r="W67" s="312">
        <f>SUM(C67:V67)</f>
        <v>0</v>
      </c>
      <c r="X67" s="313"/>
      <c r="Y67" s="314"/>
    </row>
    <row r="68" spans="1:27" s="315" customFormat="1" thickBot="1">
      <c r="A68" s="288"/>
      <c r="B68" s="289" t="s">
        <v>314</v>
      </c>
      <c r="C68" s="290"/>
      <c r="D68" s="290">
        <f>0</f>
        <v>0</v>
      </c>
      <c r="E68" s="290">
        <f>0</f>
        <v>0</v>
      </c>
      <c r="F68" s="290"/>
      <c r="G68" s="290"/>
      <c r="H68" s="290"/>
      <c r="I68" s="290"/>
      <c r="J68" s="290"/>
      <c r="K68" s="290"/>
      <c r="L68" s="290">
        <v>0</v>
      </c>
      <c r="M68" s="290"/>
      <c r="N68" s="290"/>
      <c r="O68" s="290"/>
      <c r="P68" s="290"/>
      <c r="Q68" s="290"/>
      <c r="R68" s="290"/>
      <c r="S68" s="290">
        <v>0</v>
      </c>
      <c r="T68" s="290"/>
      <c r="U68" s="290"/>
      <c r="V68" s="290">
        <v>0</v>
      </c>
      <c r="W68" s="316">
        <f>SUM(C68:V68)</f>
        <v>0</v>
      </c>
      <c r="X68" s="313" t="s">
        <v>349</v>
      </c>
      <c r="Y68" s="314"/>
      <c r="Z68" s="262"/>
      <c r="AA68" s="317"/>
    </row>
    <row r="69" spans="1:27" ht="20.25" thickTop="1">
      <c r="A69" s="263" t="s">
        <v>140</v>
      </c>
      <c r="B69" s="264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6"/>
    </row>
    <row r="70" spans="1:27">
      <c r="A70" s="263"/>
      <c r="B70" s="264" t="s">
        <v>350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6">
        <f>SUM(C70:V70)</f>
        <v>0</v>
      </c>
    </row>
    <row r="71" spans="1:27">
      <c r="A71" s="263"/>
      <c r="B71" s="264" t="s">
        <v>351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6">
        <f>SUM(C71:V71)</f>
        <v>0</v>
      </c>
    </row>
    <row r="72" spans="1:27">
      <c r="A72" s="263"/>
      <c r="B72" s="264" t="s">
        <v>352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6">
        <f>SUM(C72:V72)</f>
        <v>0</v>
      </c>
    </row>
    <row r="73" spans="1:27">
      <c r="A73" s="263"/>
      <c r="B73" s="264" t="s">
        <v>353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6">
        <f>SUM(C73:V73)</f>
        <v>0</v>
      </c>
    </row>
    <row r="74" spans="1:27" s="257" customFormat="1" ht="18.75">
      <c r="A74" s="251"/>
      <c r="B74" s="252" t="s">
        <v>250</v>
      </c>
      <c r="C74" s="253">
        <f>SUM(C70:C73)</f>
        <v>0</v>
      </c>
      <c r="D74" s="253">
        <f>SUM(D70:D73)</f>
        <v>0</v>
      </c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>
        <f>SUM(V70:V73)</f>
        <v>0</v>
      </c>
      <c r="W74" s="254">
        <f>SUM(C74:V74)</f>
        <v>0</v>
      </c>
      <c r="X74" s="255"/>
      <c r="Y74" s="256"/>
    </row>
    <row r="75" spans="1:27" s="257" customFormat="1" thickBot="1">
      <c r="A75" s="258"/>
      <c r="B75" s="259" t="s">
        <v>314</v>
      </c>
      <c r="C75" s="260">
        <v>0</v>
      </c>
      <c r="D75" s="260">
        <f>0</f>
        <v>0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1"/>
      <c r="X75" s="255" t="s">
        <v>354</v>
      </c>
      <c r="Y75" s="256"/>
      <c r="Z75" s="262"/>
      <c r="AA75" s="262"/>
    </row>
    <row r="76" spans="1:27" s="310" customFormat="1" ht="20.25" thickTop="1">
      <c r="A76" s="273" t="s">
        <v>141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92"/>
      <c r="X76" s="308" t="s">
        <v>355</v>
      </c>
      <c r="Y76" s="311"/>
    </row>
    <row r="77" spans="1:27" s="310" customFormat="1" ht="20.25" thickBot="1">
      <c r="A77" s="273"/>
      <c r="B77" s="274" t="s">
        <v>356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92">
        <f t="shared" ref="W77:W84" si="8">SUM(C77:V77)</f>
        <v>0</v>
      </c>
      <c r="X77" s="308" t="s">
        <v>55</v>
      </c>
      <c r="Y77" s="318"/>
    </row>
    <row r="78" spans="1:27" s="310" customFormat="1" ht="20.25" thickTop="1">
      <c r="A78" s="273"/>
      <c r="B78" s="274" t="s">
        <v>357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92">
        <f t="shared" si="8"/>
        <v>0</v>
      </c>
      <c r="X78" s="308"/>
      <c r="Y78" s="311"/>
    </row>
    <row r="79" spans="1:27" s="310" customFormat="1">
      <c r="A79" s="273"/>
      <c r="B79" s="274" t="s">
        <v>358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92">
        <f t="shared" si="8"/>
        <v>0</v>
      </c>
      <c r="X79" s="308"/>
      <c r="Y79" s="311"/>
    </row>
    <row r="80" spans="1:27" s="310" customFormat="1">
      <c r="A80" s="273"/>
      <c r="B80" s="274" t="s">
        <v>359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92">
        <f t="shared" si="8"/>
        <v>0</v>
      </c>
      <c r="X80" s="308"/>
      <c r="Y80" s="311"/>
    </row>
    <row r="81" spans="1:27" s="310" customFormat="1">
      <c r="A81" s="273"/>
      <c r="B81" s="274" t="s">
        <v>360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92"/>
      <c r="X81" s="308"/>
      <c r="Y81" s="311"/>
    </row>
    <row r="82" spans="1:27" s="310" customFormat="1">
      <c r="A82" s="273"/>
      <c r="B82" s="274" t="s">
        <v>361</v>
      </c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92">
        <f t="shared" si="8"/>
        <v>0</v>
      </c>
      <c r="X82" s="308"/>
      <c r="Y82" s="311"/>
    </row>
    <row r="83" spans="1:27" s="315" customFormat="1" ht="18.75">
      <c r="A83" s="282"/>
      <c r="B83" s="283" t="s">
        <v>250</v>
      </c>
      <c r="C83" s="284">
        <f>SUM(C77:C82)</f>
        <v>0</v>
      </c>
      <c r="D83" s="284">
        <f>SUM(D77:D82)</f>
        <v>0</v>
      </c>
      <c r="E83" s="284">
        <f>SUM(E77:E82)</f>
        <v>0</v>
      </c>
      <c r="F83" s="284">
        <f>SUM(F77:F82)</f>
        <v>0</v>
      </c>
      <c r="G83" s="284">
        <f>SUM(G77:G82)</f>
        <v>0</v>
      </c>
      <c r="H83" s="284"/>
      <c r="I83" s="284"/>
      <c r="J83" s="284"/>
      <c r="K83" s="284"/>
      <c r="L83" s="284"/>
      <c r="M83" s="284"/>
      <c r="N83" s="284">
        <f>SUM(N77:N82)</f>
        <v>0</v>
      </c>
      <c r="O83" s="284"/>
      <c r="P83" s="284"/>
      <c r="Q83" s="284"/>
      <c r="R83" s="284"/>
      <c r="S83" s="284"/>
      <c r="T83" s="284"/>
      <c r="U83" s="284"/>
      <c r="V83" s="284"/>
      <c r="W83" s="312">
        <f t="shared" si="8"/>
        <v>0</v>
      </c>
      <c r="X83" s="313"/>
      <c r="Y83" s="314"/>
    </row>
    <row r="84" spans="1:27" s="315" customFormat="1" thickBot="1">
      <c r="A84" s="288"/>
      <c r="B84" s="289" t="s">
        <v>314</v>
      </c>
      <c r="C84" s="290">
        <v>0</v>
      </c>
      <c r="D84" s="290">
        <f>0</f>
        <v>0</v>
      </c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316">
        <f t="shared" si="8"/>
        <v>0</v>
      </c>
      <c r="X84" s="313" t="s">
        <v>362</v>
      </c>
      <c r="Y84" s="314"/>
      <c r="Z84" s="262"/>
      <c r="AA84" s="262"/>
    </row>
    <row r="85" spans="1:27" ht="20.25" thickTop="1">
      <c r="A85" s="263" t="s">
        <v>142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6">
        <f>SUM(C85:V85)</f>
        <v>0</v>
      </c>
    </row>
    <row r="86" spans="1:27">
      <c r="A86" s="263"/>
      <c r="B86" s="264" t="s">
        <v>363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6">
        <f>SUM(C86:V86)</f>
        <v>0</v>
      </c>
    </row>
    <row r="87" spans="1:27">
      <c r="A87" s="263"/>
      <c r="B87" s="264" t="s">
        <v>121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6">
        <f>SUM(C87:V87)</f>
        <v>0</v>
      </c>
    </row>
    <row r="88" spans="1:27" s="257" customFormat="1" ht="18.75">
      <c r="A88" s="251"/>
      <c r="B88" s="252" t="s">
        <v>250</v>
      </c>
      <c r="C88" s="253"/>
      <c r="D88" s="253">
        <f>SUM(D85:D87)</f>
        <v>0</v>
      </c>
      <c r="E88" s="253"/>
      <c r="F88" s="253">
        <f>SUM(F85:F87)</f>
        <v>0</v>
      </c>
      <c r="G88" s="253">
        <f>SUM(G85:G87)</f>
        <v>0</v>
      </c>
      <c r="H88" s="253">
        <f>SUM(H85:H87)</f>
        <v>0</v>
      </c>
      <c r="I88" s="253"/>
      <c r="J88" s="253"/>
      <c r="K88" s="253"/>
      <c r="L88" s="253"/>
      <c r="M88" s="253"/>
      <c r="N88" s="253">
        <v>0</v>
      </c>
      <c r="O88" s="253">
        <f>SUM(O85:O87)</f>
        <v>0</v>
      </c>
      <c r="P88" s="253"/>
      <c r="Q88" s="253">
        <f t="shared" ref="Q88:V88" si="9">SUM(Q85:Q87)</f>
        <v>0</v>
      </c>
      <c r="R88" s="253">
        <f t="shared" si="9"/>
        <v>0</v>
      </c>
      <c r="S88" s="253">
        <f t="shared" si="9"/>
        <v>0</v>
      </c>
      <c r="T88" s="253">
        <f t="shared" si="9"/>
        <v>0</v>
      </c>
      <c r="U88" s="253">
        <f t="shared" si="9"/>
        <v>0</v>
      </c>
      <c r="V88" s="253">
        <f t="shared" si="9"/>
        <v>0</v>
      </c>
      <c r="W88" s="254">
        <f>SUM(C88:V88)</f>
        <v>0</v>
      </c>
      <c r="X88" s="255"/>
      <c r="Y88" s="256"/>
    </row>
    <row r="89" spans="1:27" s="257" customFormat="1" thickBot="1">
      <c r="A89" s="258"/>
      <c r="B89" s="259" t="s">
        <v>314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>
        <v>0</v>
      </c>
      <c r="O89" s="260"/>
      <c r="P89" s="260"/>
      <c r="Q89" s="260"/>
      <c r="R89" s="260"/>
      <c r="S89" s="260"/>
      <c r="T89" s="260"/>
      <c r="U89" s="260"/>
      <c r="V89" s="260"/>
      <c r="W89" s="261"/>
      <c r="X89" s="255" t="s">
        <v>364</v>
      </c>
      <c r="Y89" s="256"/>
      <c r="Z89" s="262"/>
      <c r="AA89" s="262"/>
    </row>
    <row r="90" spans="1:27" ht="20.25" thickTop="1">
      <c r="A90" s="263" t="s">
        <v>365</v>
      </c>
      <c r="B90" s="264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6"/>
    </row>
    <row r="91" spans="1:27">
      <c r="A91" s="263"/>
      <c r="B91" s="264" t="s">
        <v>366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6">
        <f>SUM(C91:V91)</f>
        <v>0</v>
      </c>
    </row>
    <row r="92" spans="1:27">
      <c r="A92" s="263"/>
      <c r="B92" s="264" t="s">
        <v>367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6">
        <f>SUM(C92:V92)</f>
        <v>0</v>
      </c>
    </row>
    <row r="93" spans="1:27">
      <c r="A93" s="263"/>
      <c r="B93" s="264" t="s">
        <v>368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6">
        <f>SUM(C93:V93)</f>
        <v>0</v>
      </c>
    </row>
    <row r="94" spans="1:27" s="257" customFormat="1" ht="18.75">
      <c r="A94" s="251"/>
      <c r="B94" s="252" t="s">
        <v>250</v>
      </c>
      <c r="C94" s="253"/>
      <c r="D94" s="253">
        <f>SUM(D91:D93)</f>
        <v>0</v>
      </c>
      <c r="E94" s="253"/>
      <c r="F94" s="253">
        <f>SUM(F92:F93)</f>
        <v>0</v>
      </c>
      <c r="G94" s="253"/>
      <c r="H94" s="253">
        <f>SUM(H91:H93)</f>
        <v>0</v>
      </c>
      <c r="I94" s="253">
        <f>SUM(I90:I93)</f>
        <v>0</v>
      </c>
      <c r="J94" s="253">
        <f>SUM(J90:J93)</f>
        <v>0</v>
      </c>
      <c r="K94" s="253"/>
      <c r="L94" s="253"/>
      <c r="M94" s="253"/>
      <c r="N94" s="253">
        <f>SUM(N92:N93)</f>
        <v>0</v>
      </c>
      <c r="O94" s="253">
        <f>SUM(O92:O93)</f>
        <v>0</v>
      </c>
      <c r="P94" s="253"/>
      <c r="Q94" s="253">
        <f>SUM(Q92:Q93)</f>
        <v>0</v>
      </c>
      <c r="R94" s="253">
        <f>SUM(R92:R93)</f>
        <v>0</v>
      </c>
      <c r="S94" s="253">
        <f>SUM(S92:S93)</f>
        <v>0</v>
      </c>
      <c r="T94" s="253"/>
      <c r="U94" s="253"/>
      <c r="V94" s="253"/>
      <c r="W94" s="254">
        <f>SUM(C94:V94)</f>
        <v>0</v>
      </c>
      <c r="X94" s="255"/>
      <c r="Y94" s="256"/>
    </row>
    <row r="95" spans="1:27" s="257" customFormat="1" thickBot="1">
      <c r="A95" s="258"/>
      <c r="B95" s="259" t="s">
        <v>314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1">
        <f>SUM(C95:V95)</f>
        <v>0</v>
      </c>
      <c r="X95" s="255" t="s">
        <v>11</v>
      </c>
      <c r="Y95" s="256"/>
      <c r="Z95" s="262"/>
      <c r="AA95" s="262"/>
    </row>
    <row r="96" spans="1:27" ht="20.25" thickTop="1">
      <c r="A96" s="263" t="s">
        <v>206</v>
      </c>
      <c r="B96" s="264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6"/>
      <c r="Y96" s="267"/>
    </row>
    <row r="97" spans="1:27">
      <c r="A97" s="263"/>
      <c r="B97" s="264" t="s">
        <v>143</v>
      </c>
      <c r="C97" s="265"/>
      <c r="D97" s="265"/>
      <c r="E97" s="265"/>
      <c r="F97" s="265"/>
      <c r="G97" s="265">
        <v>0</v>
      </c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6">
        <f>SUM(C97:V97)</f>
        <v>0</v>
      </c>
      <c r="Y97" s="267"/>
    </row>
    <row r="98" spans="1:27">
      <c r="A98" s="263"/>
      <c r="B98" s="264" t="s">
        <v>369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6">
        <f>SUM(C98:V98)</f>
        <v>0</v>
      </c>
      <c r="Y98" s="267"/>
    </row>
    <row r="99" spans="1:27" s="257" customFormat="1" ht="18.75">
      <c r="A99" s="251"/>
      <c r="B99" s="252" t="s">
        <v>250</v>
      </c>
      <c r="C99" s="253"/>
      <c r="D99" s="253">
        <f>SUM(D97:D98)</f>
        <v>0</v>
      </c>
      <c r="E99" s="253">
        <f>SUM(E97:E98)</f>
        <v>0</v>
      </c>
      <c r="F99" s="253">
        <f>SUM(F97:F98)</f>
        <v>0</v>
      </c>
      <c r="G99" s="253">
        <f>SUM(G97:G98)</f>
        <v>0</v>
      </c>
      <c r="H99" s="253">
        <f>H98</f>
        <v>0</v>
      </c>
      <c r="I99" s="253">
        <f>SUM(I97:I98)</f>
        <v>0</v>
      </c>
      <c r="J99" s="253"/>
      <c r="K99" s="253"/>
      <c r="L99" s="253"/>
      <c r="M99" s="253">
        <f>SUM(M98)</f>
        <v>0</v>
      </c>
      <c r="N99" s="253"/>
      <c r="O99" s="253"/>
      <c r="P99" s="253"/>
      <c r="Q99" s="253"/>
      <c r="R99" s="253"/>
      <c r="S99" s="253"/>
      <c r="T99" s="253"/>
      <c r="U99" s="253"/>
      <c r="V99" s="253"/>
      <c r="W99" s="254">
        <f>SUM(C99:V99)</f>
        <v>0</v>
      </c>
      <c r="X99" s="255"/>
      <c r="Y99" s="256"/>
    </row>
    <row r="100" spans="1:27" s="257" customFormat="1" thickBot="1">
      <c r="A100" s="258"/>
      <c r="B100" s="259" t="s">
        <v>314</v>
      </c>
      <c r="C100" s="260"/>
      <c r="D100" s="260">
        <v>0</v>
      </c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1">
        <f>SUM(C100:V100)</f>
        <v>0</v>
      </c>
      <c r="X100" s="255" t="s">
        <v>67</v>
      </c>
      <c r="Y100" s="256"/>
      <c r="Z100" s="262"/>
      <c r="AA100" s="262"/>
    </row>
    <row r="101" spans="1:27" s="322" customFormat="1" ht="21" thickTop="1" thickBot="1">
      <c r="A101" s="521" t="s">
        <v>370</v>
      </c>
      <c r="B101" s="522"/>
      <c r="C101" s="319">
        <f t="shared" ref="C101:V101" si="10">C16+C24+C36+C45+C52+C68+C75+C84+C89+C95+C100</f>
        <v>0</v>
      </c>
      <c r="D101" s="319">
        <f t="shared" si="10"/>
        <v>0</v>
      </c>
      <c r="E101" s="319">
        <f t="shared" si="10"/>
        <v>0</v>
      </c>
      <c r="F101" s="319">
        <f t="shared" si="10"/>
        <v>0</v>
      </c>
      <c r="G101" s="319">
        <f t="shared" si="10"/>
        <v>0</v>
      </c>
      <c r="H101" s="319">
        <f t="shared" si="10"/>
        <v>0</v>
      </c>
      <c r="I101" s="319">
        <f t="shared" si="10"/>
        <v>0</v>
      </c>
      <c r="J101" s="319">
        <f t="shared" si="10"/>
        <v>0</v>
      </c>
      <c r="K101" s="319">
        <f t="shared" si="10"/>
        <v>0</v>
      </c>
      <c r="L101" s="319">
        <f t="shared" si="10"/>
        <v>0</v>
      </c>
      <c r="M101" s="319">
        <f t="shared" si="10"/>
        <v>0</v>
      </c>
      <c r="N101" s="319">
        <f t="shared" si="10"/>
        <v>0</v>
      </c>
      <c r="O101" s="319">
        <f t="shared" si="10"/>
        <v>0</v>
      </c>
      <c r="P101" s="319">
        <f t="shared" si="10"/>
        <v>0</v>
      </c>
      <c r="Q101" s="319">
        <f t="shared" si="10"/>
        <v>0</v>
      </c>
      <c r="R101" s="319">
        <f t="shared" si="10"/>
        <v>0</v>
      </c>
      <c r="S101" s="319">
        <f t="shared" si="10"/>
        <v>0</v>
      </c>
      <c r="T101" s="319">
        <f t="shared" si="10"/>
        <v>0</v>
      </c>
      <c r="U101" s="319">
        <f t="shared" si="10"/>
        <v>0</v>
      </c>
      <c r="V101" s="319">
        <f t="shared" si="10"/>
        <v>0</v>
      </c>
      <c r="W101" s="319">
        <f>W16+W24+W36+W45+W52+W68+W75+W84+W89+W95+W100</f>
        <v>0</v>
      </c>
      <c r="X101" s="320"/>
      <c r="Y101" s="321"/>
    </row>
    <row r="102" spans="1:27" ht="20.25" thickTop="1"/>
    <row r="103" spans="1:27">
      <c r="H103" s="323" t="s">
        <v>371</v>
      </c>
      <c r="L103" s="323" t="s">
        <v>371</v>
      </c>
      <c r="P103" s="323" t="s">
        <v>371</v>
      </c>
    </row>
    <row r="104" spans="1:27" ht="20.25" thickBot="1">
      <c r="B104" s="235" t="s">
        <v>372</v>
      </c>
      <c r="C104" s="324" t="e">
        <f>+C16+C24+C36+#REF!+C45+C52+C68+C75+#REF!+C84+C89+C100</f>
        <v>#REF!</v>
      </c>
      <c r="D104" s="324" t="e">
        <f>+D16+D24+D36+#REF!+D45+D52+D68+D75+#REF!+D84+D89+D100</f>
        <v>#REF!</v>
      </c>
      <c r="E104" s="324" t="e">
        <f>+E16+E24+E36+#REF!+E45+E52+E68+E75+#REF!+E84+E89+E100</f>
        <v>#REF!</v>
      </c>
      <c r="F104" s="324"/>
      <c r="G104" s="324"/>
      <c r="H104" s="323" t="s">
        <v>373</v>
      </c>
      <c r="I104" s="324"/>
      <c r="J104" s="324"/>
      <c r="K104" s="324"/>
      <c r="L104" s="323" t="s">
        <v>374</v>
      </c>
      <c r="M104" s="324"/>
      <c r="N104" s="324"/>
      <c r="O104" s="323" t="s">
        <v>375</v>
      </c>
      <c r="P104" s="324"/>
      <c r="Q104" s="324"/>
      <c r="R104" s="324"/>
      <c r="S104" s="324" t="e">
        <f>+S16+S24+S36+#REF!+S45+S52+S68+S75+#REF!+S84+S89+S100</f>
        <v>#REF!</v>
      </c>
      <c r="T104" s="324" t="e">
        <f>+T16+T24+T36+#REF!+T45+T52+T68+T75+#REF!+T84+T89+T100</f>
        <v>#REF!</v>
      </c>
      <c r="U104" s="324"/>
      <c r="V104" s="324" t="e">
        <f>+V16+V24+V36+#REF!+V45+V52+V68+V75+#REF!+V84+V89+V100</f>
        <v>#REF!</v>
      </c>
      <c r="W104" s="325" t="e">
        <f>+W16+W24+W36+#REF!+W45+W52+W68+W75+#REF!+W84+W89+W100</f>
        <v>#REF!</v>
      </c>
    </row>
    <row r="105" spans="1:27" ht="20.25" thickTop="1">
      <c r="H105" s="323" t="s">
        <v>376</v>
      </c>
      <c r="L105" s="323" t="s">
        <v>377</v>
      </c>
      <c r="O105" s="323" t="s">
        <v>378</v>
      </c>
      <c r="T105" s="323" t="s">
        <v>379</v>
      </c>
      <c r="W105" s="326">
        <f>+[1]รายงานรับจ่ายเงินสด!B70</f>
        <v>12603701.57</v>
      </c>
    </row>
    <row r="106" spans="1:27">
      <c r="O106" s="236" t="s">
        <v>380</v>
      </c>
      <c r="T106" s="327" t="s">
        <v>381</v>
      </c>
      <c r="W106" s="328" t="e">
        <f>+[1]รายงานรับจ่ายเงินสด!#REF!</f>
        <v>#REF!</v>
      </c>
    </row>
    <row r="107" spans="1:27">
      <c r="T107" s="329" t="s">
        <v>304</v>
      </c>
      <c r="W107" s="326" t="e">
        <f>+W105-W106</f>
        <v>#REF!</v>
      </c>
    </row>
    <row r="108" spans="1:27">
      <c r="T108" s="330" t="s">
        <v>180</v>
      </c>
      <c r="W108" s="326" t="e">
        <f>+W107-W104</f>
        <v>#REF!</v>
      </c>
    </row>
    <row r="109" spans="1:27">
      <c r="T109" s="331"/>
      <c r="U109" s="332"/>
      <c r="V109" s="332"/>
      <c r="W109" s="333"/>
      <c r="X109" s="334"/>
    </row>
    <row r="110" spans="1:27">
      <c r="T110" s="331"/>
      <c r="U110" s="332"/>
      <c r="V110" s="332"/>
      <c r="W110" s="326"/>
      <c r="X110" s="334"/>
    </row>
    <row r="111" spans="1:27">
      <c r="T111" s="332"/>
      <c r="U111" s="332"/>
      <c r="V111" s="332"/>
      <c r="W111" s="335"/>
      <c r="X111" s="33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Winwincom</cp:lastModifiedBy>
  <cp:lastPrinted>2013-06-10T06:49:57Z</cp:lastPrinted>
  <dcterms:created xsi:type="dcterms:W3CDTF">2007-07-06T07:24:03Z</dcterms:created>
  <dcterms:modified xsi:type="dcterms:W3CDTF">2013-06-10T08:09:54Z</dcterms:modified>
</cp:coreProperties>
</file>