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3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D60" i="54"/>
  <c r="D59"/>
  <c r="F59" s="1"/>
  <c r="D63"/>
  <c r="D61"/>
  <c r="D50"/>
  <c r="D51"/>
  <c r="D55"/>
  <c r="D47"/>
  <c r="F47" s="1"/>
  <c r="D46"/>
  <c r="F46" s="1"/>
  <c r="D43"/>
  <c r="D44"/>
  <c r="D31"/>
  <c r="D27"/>
  <c r="D24"/>
  <c r="D22"/>
  <c r="D14"/>
  <c r="D17"/>
  <c r="D11"/>
  <c r="D10"/>
  <c r="D9"/>
  <c r="F69"/>
  <c r="F68"/>
  <c r="F67"/>
  <c r="F66"/>
  <c r="F65"/>
  <c r="F64"/>
  <c r="F63"/>
  <c r="F62"/>
  <c r="D62"/>
  <c r="F61"/>
  <c r="F60"/>
  <c r="F58"/>
  <c r="D57"/>
  <c r="F55"/>
  <c r="D54"/>
  <c r="C54"/>
  <c r="F53"/>
  <c r="F52"/>
  <c r="F51"/>
  <c r="F50"/>
  <c r="F49"/>
  <c r="D49"/>
  <c r="F48"/>
  <c r="D45"/>
  <c r="F45" s="1"/>
  <c r="F44"/>
  <c r="F43"/>
  <c r="C42"/>
  <c r="F34"/>
  <c r="D33"/>
  <c r="C33"/>
  <c r="F33" s="1"/>
  <c r="F31"/>
  <c r="F30"/>
  <c r="D30"/>
  <c r="D29" s="1"/>
  <c r="C29"/>
  <c r="F27"/>
  <c r="D26"/>
  <c r="C26"/>
  <c r="F25"/>
  <c r="F24"/>
  <c r="C23"/>
  <c r="F22"/>
  <c r="F21"/>
  <c r="F20"/>
  <c r="F19"/>
  <c r="F18"/>
  <c r="F17"/>
  <c r="F16"/>
  <c r="F15"/>
  <c r="F14"/>
  <c r="F13"/>
  <c r="D12"/>
  <c r="C12"/>
  <c r="F11"/>
  <c r="F10"/>
  <c r="F9"/>
  <c r="C8"/>
  <c r="C7"/>
  <c r="C70" s="1"/>
  <c r="F54" l="1"/>
  <c r="D42"/>
  <c r="F42" s="1"/>
  <c r="F26"/>
  <c r="F12"/>
  <c r="F29"/>
  <c r="F23"/>
  <c r="D8"/>
  <c r="D23"/>
  <c r="D7" l="1"/>
  <c r="D70" s="1"/>
  <c r="F70" s="1"/>
  <c r="F8"/>
  <c r="F7" l="1"/>
  <c r="W92" i="53" l="1"/>
  <c r="B61"/>
  <c r="H54" i="35"/>
  <c r="B63" i="53"/>
  <c r="C63"/>
  <c r="M112"/>
  <c r="B64"/>
  <c r="M63"/>
  <c r="I63"/>
  <c r="S63"/>
  <c r="F36"/>
  <c r="F35"/>
  <c r="X13"/>
  <c r="G30" i="52"/>
  <c r="I35" l="1"/>
  <c r="I31"/>
  <c r="G16"/>
  <c r="G15"/>
  <c r="G14"/>
  <c r="G13"/>
  <c r="D19" i="36"/>
  <c r="D18"/>
  <c r="D22"/>
  <c r="D20"/>
  <c r="E22"/>
  <c r="E29" s="1"/>
  <c r="E20"/>
  <c r="E21"/>
  <c r="D21"/>
  <c r="F24"/>
  <c r="F25"/>
  <c r="F26"/>
  <c r="F27"/>
  <c r="E19"/>
  <c r="E18"/>
  <c r="C68" i="35"/>
  <c r="C67"/>
  <c r="C63"/>
  <c r="C62"/>
  <c r="C60"/>
  <c r="C58"/>
  <c r="C57"/>
  <c r="C56"/>
  <c r="C55"/>
  <c r="C54"/>
  <c r="C53"/>
  <c r="C52"/>
  <c r="C51"/>
  <c r="C50"/>
  <c r="C49"/>
  <c r="C31"/>
  <c r="C28"/>
  <c r="C25"/>
  <c r="C24"/>
  <c r="C22"/>
  <c r="C18"/>
  <c r="C17"/>
  <c r="C16"/>
  <c r="C15"/>
  <c r="C14"/>
  <c r="C13"/>
  <c r="C12"/>
  <c r="H56"/>
  <c r="H31"/>
  <c r="H62"/>
  <c r="C30"/>
  <c r="C21"/>
  <c r="D12" i="36"/>
  <c r="H24" i="35" s="1"/>
  <c r="G146" i="53" l="1"/>
  <c r="I31" i="40"/>
  <c r="I33" i="52"/>
  <c r="C66" i="35"/>
  <c r="I14" i="40"/>
  <c r="I33" l="1"/>
  <c r="F11" i="36"/>
  <c r="C43" i="35"/>
  <c r="C61"/>
  <c r="H61"/>
  <c r="H43"/>
  <c r="H19"/>
  <c r="T180" i="53"/>
  <c r="C65" i="35"/>
  <c r="C69"/>
  <c r="F10" i="36"/>
  <c r="C180" i="53"/>
  <c r="I34" i="52"/>
  <c r="G17"/>
  <c r="F23" i="36"/>
  <c r="E12"/>
  <c r="L78" i="35"/>
  <c r="A61"/>
  <c r="J42"/>
  <c r="J41"/>
  <c r="J40"/>
  <c r="L39"/>
  <c r="J39"/>
  <c r="J38"/>
  <c r="J37"/>
  <c r="J27"/>
  <c r="A19"/>
  <c r="H63" l="1"/>
  <c r="H74" s="1"/>
  <c r="H75" s="1"/>
  <c r="I43" i="52"/>
  <c r="C74" i="35"/>
  <c r="C75" s="1"/>
  <c r="C19"/>
  <c r="C44" s="1"/>
  <c r="H44"/>
  <c r="C79" l="1"/>
  <c r="C76"/>
  <c r="H76"/>
  <c r="H79"/>
  <c r="M79" l="1"/>
  <c r="K79"/>
  <c r="A16" i="36" l="1"/>
  <c r="Y6" i="53" l="1"/>
  <c r="F20" i="36" l="1"/>
  <c r="F22"/>
  <c r="F21"/>
  <c r="D30" i="55" l="1"/>
  <c r="E30"/>
  <c r="C30"/>
  <c r="G43" i="52" l="1"/>
  <c r="L12"/>
  <c r="A87" i="53"/>
  <c r="Y59" l="1"/>
  <c r="Y60" l="1"/>
  <c r="Y61"/>
  <c r="Y62"/>
  <c r="Y63"/>
  <c r="Y64"/>
  <c r="D29" i="36" l="1"/>
  <c r="Y28" i="53" l="1"/>
  <c r="Y19"/>
  <c r="Y49"/>
  <c r="Y50"/>
  <c r="F19" i="36" l="1"/>
  <c r="F18"/>
  <c r="F29" l="1"/>
  <c r="E33" i="40"/>
  <c r="Y12" i="53" l="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M180" i="53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Y186"/>
  <c r="Y185"/>
  <c r="Y184"/>
  <c r="Y183"/>
  <c r="Y182"/>
  <c r="X180"/>
  <c r="W180"/>
  <c r="W181" s="1"/>
  <c r="V180"/>
  <c r="U180"/>
  <c r="T18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B180"/>
  <c r="B181" s="1"/>
  <c r="B190" s="1"/>
  <c r="Y179"/>
  <c r="Y177"/>
  <c r="Y176"/>
  <c r="Y175"/>
  <c r="Y174"/>
  <c r="Y35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F145"/>
  <c r="F146" s="1"/>
  <c r="E145"/>
  <c r="E146" s="1"/>
  <c r="D145"/>
  <c r="D146" s="1"/>
  <c r="C145"/>
  <c r="C146" s="1"/>
  <c r="B145"/>
  <c r="B146" s="1"/>
  <c r="Y144"/>
  <c r="Y143"/>
  <c r="Y142"/>
  <c r="Y141"/>
  <c r="Y140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Y137"/>
  <c r="Y135"/>
  <c r="Y134"/>
  <c r="Y133"/>
  <c r="Y132"/>
  <c r="A129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Y113"/>
  <c r="Y112"/>
  <c r="M114"/>
  <c r="M115" s="1"/>
  <c r="Y111"/>
  <c r="Y110"/>
  <c r="Y109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Y106"/>
  <c r="Y105"/>
  <c r="Y104"/>
  <c r="Y103"/>
  <c r="Y102"/>
  <c r="Y101"/>
  <c r="Y100"/>
  <c r="Y99"/>
  <c r="X98"/>
  <c r="V98"/>
  <c r="W97"/>
  <c r="W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Y96"/>
  <c r="Y94"/>
  <c r="Y93"/>
  <c r="Y92"/>
  <c r="Y91"/>
  <c r="Y90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Y80"/>
  <c r="Y79"/>
  <c r="Y78"/>
  <c r="Y77"/>
  <c r="Y75"/>
  <c r="Y74"/>
  <c r="Y73"/>
  <c r="Y72"/>
  <c r="Y71"/>
  <c r="Y70"/>
  <c r="Y69"/>
  <c r="Y68"/>
  <c r="Y67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Y56"/>
  <c r="Y55"/>
  <c r="Y54"/>
  <c r="Y53"/>
  <c r="Y52"/>
  <c r="Y51"/>
  <c r="A46"/>
  <c r="A171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Y36"/>
  <c r="Y34"/>
  <c r="Y33"/>
  <c r="Y32"/>
  <c r="Y31"/>
  <c r="Y30"/>
  <c r="Y29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Y25"/>
  <c r="Y24"/>
  <c r="Y23"/>
  <c r="Y22"/>
  <c r="Y21"/>
  <c r="Y20"/>
  <c r="W17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Y16"/>
  <c r="Y15"/>
  <c r="Y14"/>
  <c r="Y13"/>
  <c r="Y11"/>
  <c r="Y10"/>
  <c r="Y8"/>
  <c r="X17"/>
  <c r="Y7"/>
  <c r="N190" l="1"/>
  <c r="J190"/>
  <c r="J189"/>
  <c r="F190"/>
  <c r="F189"/>
  <c r="T189"/>
  <c r="D189"/>
  <c r="D190"/>
  <c r="H190"/>
  <c r="H189"/>
  <c r="L190"/>
  <c r="L189"/>
  <c r="C108"/>
  <c r="N189"/>
  <c r="R190"/>
  <c r="R189"/>
  <c r="P190"/>
  <c r="W190"/>
  <c r="B189"/>
  <c r="W189"/>
  <c r="P189"/>
  <c r="T147"/>
  <c r="W147"/>
  <c r="Y180"/>
  <c r="Y181" s="1"/>
  <c r="Y187"/>
  <c r="Y188" s="1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T190" i="53"/>
  <c r="C181"/>
  <c r="C190" s="1"/>
  <c r="G181"/>
  <c r="K181"/>
  <c r="O181"/>
  <c r="S181"/>
  <c r="V181"/>
  <c r="E181"/>
  <c r="E190" s="1"/>
  <c r="I181"/>
  <c r="M181"/>
  <c r="M190" s="1"/>
  <c r="Q181"/>
  <c r="U181"/>
  <c r="X181"/>
  <c r="W18"/>
  <c r="W148" s="1"/>
  <c r="B37"/>
  <c r="B38" s="1"/>
  <c r="Y114"/>
  <c r="Y115" s="1"/>
  <c r="E148"/>
  <c r="I147"/>
  <c r="U147"/>
  <c r="Y145"/>
  <c r="Y146" s="1"/>
  <c r="H148"/>
  <c r="P147"/>
  <c r="Y138"/>
  <c r="Y139" s="1"/>
  <c r="V148"/>
  <c r="P18"/>
  <c r="P148" s="1"/>
  <c r="U18"/>
  <c r="U148" s="1"/>
  <c r="H147"/>
  <c r="L147"/>
  <c r="L18"/>
  <c r="L148" s="1"/>
  <c r="F147"/>
  <c r="J147"/>
  <c r="N147"/>
  <c r="R147"/>
  <c r="I18"/>
  <c r="I148" s="1"/>
  <c r="N18"/>
  <c r="N148" s="1"/>
  <c r="T18"/>
  <c r="T148" s="1"/>
  <c r="B115"/>
  <c r="M147"/>
  <c r="J148"/>
  <c r="Y107"/>
  <c r="Y108" s="1"/>
  <c r="Y97"/>
  <c r="Y98" s="1"/>
  <c r="S148"/>
  <c r="Y81"/>
  <c r="K148"/>
  <c r="B82"/>
  <c r="E147"/>
  <c r="G148"/>
  <c r="D147"/>
  <c r="O148"/>
  <c r="D148"/>
  <c r="F148"/>
  <c r="Y17"/>
  <c r="Y18" s="1"/>
  <c r="Y26"/>
  <c r="Y27" s="1"/>
  <c r="X18"/>
  <c r="X148" s="1"/>
  <c r="X147"/>
  <c r="M148"/>
  <c r="R148"/>
  <c r="B66"/>
  <c r="Y57"/>
  <c r="Y58" s="1"/>
  <c r="Q65"/>
  <c r="Q66" s="1"/>
  <c r="Q148" s="1"/>
  <c r="C82"/>
  <c r="C147"/>
  <c r="G147"/>
  <c r="K147"/>
  <c r="O147"/>
  <c r="S147"/>
  <c r="V147"/>
  <c r="B98"/>
  <c r="Y65"/>
  <c r="L43" i="52"/>
  <c r="G190" i="53" l="1"/>
  <c r="G189"/>
  <c r="K190"/>
  <c r="K189"/>
  <c r="I190"/>
  <c r="I189"/>
  <c r="C148"/>
  <c r="Y37"/>
  <c r="Y147" s="1"/>
  <c r="B147"/>
  <c r="Y189"/>
  <c r="Y190" s="1"/>
  <c r="M189"/>
  <c r="S190"/>
  <c r="S189"/>
  <c r="C189"/>
  <c r="Q190"/>
  <c r="Q189"/>
  <c r="V190"/>
  <c r="V189"/>
  <c r="U190"/>
  <c r="U189"/>
  <c r="E189"/>
  <c r="X190"/>
  <c r="X189"/>
  <c r="O190"/>
  <c r="O189"/>
  <c r="W101" i="56"/>
  <c r="W104"/>
  <c r="W108" s="1"/>
  <c r="B148" i="53"/>
  <c r="Y82"/>
  <c r="Y66"/>
  <c r="Q147"/>
  <c r="L20" i="40"/>
  <c r="L163"/>
  <c r="L125"/>
  <c r="I123"/>
  <c r="L88"/>
  <c r="I7"/>
  <c r="L5" s="1"/>
  <c r="F9" i="36"/>
  <c r="C12"/>
  <c r="F8"/>
  <c r="F7"/>
  <c r="F6"/>
  <c r="F5"/>
  <c r="F4"/>
  <c r="F12" l="1"/>
  <c r="Y38" i="53"/>
  <c r="Y148" s="1"/>
  <c r="L9" i="40"/>
  <c r="L17" l="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R130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3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31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31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  <comment ref="R172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7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73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73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6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<sst xmlns="http://schemas.openxmlformats.org/spreadsheetml/2006/main" count="1061" uniqueCount="469">
  <si>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</si>
  <si>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</si>
  <si>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</si>
  <si>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</si>
  <si>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</si>
  <si>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</si>
  <si>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</si>
  <si>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</si>
  <si>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</si>
  <si>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</si>
  <si>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</si>
  <si>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</si>
  <si>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</si>
  <si>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</si>
  <si>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</si>
  <si>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</si>
  <si>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</si>
  <si>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</si>
  <si>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</si>
  <si>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</si>
  <si>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</si>
  <si>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</si>
  <si>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</si>
  <si>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</si>
  <si>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</si>
  <si>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</si>
  <si>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</si>
  <si>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</si>
  <si>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</si>
  <si>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</si>
  <si>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</si>
  <si>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</si>
  <si>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</si>
  <si>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</si>
  <si>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</si>
  <si>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</si>
  <si>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</si>
  <si>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</si>
  <si>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</si>
  <si>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</si>
  <si>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</si>
  <si>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</si>
  <si>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</si>
  <si>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</si>
  <si>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</si>
  <si>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</si>
  <si>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</si>
  <si>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</si>
  <si>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</si>
  <si>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</si>
  <si>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</si>
  <si>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</si>
  <si>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</si>
  <si>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</si>
  <si>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</si>
  <si>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</si>
  <si>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</si>
  <si>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</si>
  <si>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</si>
  <si>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</si>
  <si>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</si>
  <si>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</si>
  <si>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</si>
  <si>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</si>
  <si>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</si>
  <si>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</si>
  <si>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</si>
  <si>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</si>
  <si>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</si>
  <si>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</si>
  <si>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</si>
  <si>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</si>
  <si>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</si>
  <si>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</si>
  <si>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</si>
  <si>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</si>
  <si>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</si>
  <si>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</si>
  <si>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</si>
  <si>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</si>
  <si>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</si>
  <si>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</si>
  <si>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</si>
  <si>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</si>
  <si>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</si>
  <si>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</si>
  <si>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</si>
  <si>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</si>
  <si>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</si>
  <si>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</si>
  <si>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</si>
  <si>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</si>
  <si>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</si>
  <si>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</si>
  <si>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</si>
  <si>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</si>
  <si>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</si>
  <si>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</si>
  <si>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</si>
  <si>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</si>
  <si>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</si>
  <si>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</si>
  <si>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</si>
  <si>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</si>
  <si>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</si>
  <si>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</si>
  <si>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</si>
  <si>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</si>
  <si>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</si>
  <si>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</si>
  <si>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</si>
  <si>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</si>
  <si>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</si>
  <si>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</si>
  <si>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</si>
  <si>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</si>
  <si>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</si>
  <si>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</si>
  <si>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</si>
  <si>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</si>
  <si>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</si>
  <si>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</si>
  <si>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</si>
  <si>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</si>
  <si>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</si>
  <si>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</si>
  <si>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</si>
  <si>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</si>
  <si>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</si>
  <si>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</si>
  <si>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</si>
  <si>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</si>
  <si>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</si>
  <si>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</si>
  <si>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</si>
  <si>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</si>
  <si>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</si>
  <si>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</si>
  <si>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</si>
  <si>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</si>
  <si>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</si>
  <si>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</si>
  <si>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</si>
  <si>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</si>
  <si>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</si>
  <si>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</si>
  <si>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</si>
  <si>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</si>
  <si>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</si>
  <si>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</si>
  <si>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</si>
  <si>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</si>
  <si>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</si>
  <si>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</si>
  <si>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</si>
  <si>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</si>
  <si>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</si>
  <si>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</si>
  <si>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</si>
  <si>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</si>
  <si>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</si>
  <si>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</si>
  <si>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210400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</si>
  <si>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</si>
  <si>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</si>
  <si>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</si>
  <si>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</si>
  <si>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</si>
  <si>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</si>
  <si>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</si>
  <si>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</si>
  <si>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</si>
  <si>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</si>
  <si>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</si>
  <si>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</si>
  <si>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</si>
  <si>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</si>
  <si>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</si>
  <si>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</si>
  <si>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</si>
  <si>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</si>
  <si>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</si>
  <si>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</si>
  <si>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</si>
  <si>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</si>
  <si>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</si>
  <si>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</si>
  <si>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</si>
  <si>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</si>
  <si>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</si>
  <si>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</si>
  <si>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</si>
  <si>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</si>
  <si>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</si>
  <si>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</si>
  <si>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</si>
  <si>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</si>
  <si>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</si>
  <si>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</si>
  <si>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</si>
  <si>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</si>
  <si>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</si>
  <si>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</si>
  <si>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</si>
  <si>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</si>
  <si>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</si>
  <si>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</si>
  <si>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</si>
  <si>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</si>
  <si>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</si>
  <si>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</si>
  <si>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</si>
  <si>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</si>
  <si>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</si>
  <si>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</si>
  <si>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</si>
  <si>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</si>
  <si>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</si>
  <si>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</si>
  <si>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</si>
  <si>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</si>
  <si>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</si>
  <si>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</si>
  <si>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</si>
  <si>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</si>
  <si>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</si>
  <si>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</si>
  <si>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</si>
  <si>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</si>
  <si>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</si>
  <si>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</si>
  <si>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</si>
  <si>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</si>
  <si>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</si>
  <si>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</si>
  <si>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</si>
  <si>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</si>
  <si>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</si>
  <si>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</si>
  <si>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</si>
  <si>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</si>
  <si>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</si>
  <si>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</si>
  <si>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</si>
  <si>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</si>
  <si>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</si>
  <si>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</si>
  <si>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</si>
  <si>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</si>
  <si>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</si>
  <si>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</si>
  <si>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</si>
  <si>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</si>
  <si>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</si>
  <si>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</si>
  <si>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</si>
  <si>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</si>
  <si>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</si>
  <si>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</si>
  <si>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</si>
  <si>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</si>
  <si>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</si>
  <si>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</si>
  <si>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</si>
  <si>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</si>
  <si>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</si>
  <si>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</si>
  <si>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</si>
  <si>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</si>
  <si>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</si>
  <si>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</si>
  <si>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</si>
  <si>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</si>
  <si>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</si>
  <si>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</si>
  <si>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</si>
  <si>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</si>
  <si>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</si>
  <si>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</si>
  <si>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</si>
  <si>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</si>
  <si>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</si>
  <si>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</si>
  <si>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</si>
  <si>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</si>
  <si>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</si>
  <si>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</si>
  <si>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</si>
  <si>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</si>
  <si>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</si>
  <si>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</si>
  <si>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</si>
  <si>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</si>
  <si>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</si>
  <si>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</si>
  <si>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</si>
  <si>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</si>
  <si>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</si>
  <si>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</si>
  <si>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</si>
  <si>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</si>
  <si>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</si>
  <si>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</si>
  <si>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</si>
  <si>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</si>
  <si>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</si>
  <si>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</si>
  <si>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</si>
  <si>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</si>
  <si>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</si>
  <si>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</si>
  <si>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</si>
  <si>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</si>
  <si>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</si>
  <si>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</si>
  <si>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</si>
  <si>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</si>
  <si>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</si>
  <si>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</si>
  <si>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</si>
  <si>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</si>
  <si>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</si>
  <si>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</si>
  <si>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</si>
  <si>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</si>
  <si>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</si>
  <si>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</si>
  <si>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</si>
  <si>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</si>
  <si>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</si>
  <si>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</si>
  <si>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</si>
  <si>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</si>
  <si>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</si>
  <si>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</si>
  <si>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</si>
  <si>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</si>
  <si>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</si>
  <si>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</si>
  <si>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</si>
  <si>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</si>
  <si>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</si>
  <si>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</si>
  <si>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</si>
  <si>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</si>
  <si>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</si>
  <si>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</si>
  <si>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</si>
  <si>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</si>
  <si>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</si>
  <si>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</si>
  <si>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</si>
  <si>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</si>
  <si>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</si>
  <si>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</si>
  <si>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</si>
  <si>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</si>
  <si>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</si>
  <si>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</si>
  <si>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</si>
  <si>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</si>
  <si>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</si>
  <si>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</si>
  <si>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</si>
  <si>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เงินเดือนครู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</si>
  <si>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</si>
  <si>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</si>
  <si>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</si>
  <si>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</si>
  <si>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</si>
  <si>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</si>
  <si>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รายรับ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</si>
  <si>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</si>
  <si>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</si>
  <si>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</si>
  <si>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</si>
  <si>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</si>
  <si>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</si>
  <si>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</si>
  <si>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</si>
  <si>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</si>
  <si>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</si>
  <si>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</si>
  <si>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</si>
  <si>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</si>
  <si>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</si>
  <si>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</si>
  <si>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ค่าธรรมเนียมอากรป่าไม้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</si>
  <si>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</si>
  <si>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</si>
  <si>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</si>
  <si>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</si>
  <si>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</si>
  <si>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</si>
  <si>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</si>
  <si>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</si>
  <si>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</si>
  <si>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</si>
  <si>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</si>
  <si>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</si>
  <si>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</si>
  <si>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</si>
  <si>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</si>
  <si>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00110 (บริหารทั่วไป)</t>
  </si>
  <si>
    <t>00210(การศึกษา)</t>
  </si>
  <si>
    <t>00120(รักษาความสงบ)</t>
  </si>
  <si>
    <t>00220(สาธารณสุข)</t>
  </si>
  <si>
    <t>00230(สังคมสงเคราะห์)</t>
  </si>
  <si>
    <t>00240(เคหะและชุมชน)</t>
  </si>
  <si>
    <t>00250(ความเข้มแข็ง)</t>
  </si>
  <si>
    <t>00260(ศาสนา วัฒนธรรม)</t>
  </si>
  <si>
    <t>00320(เกษตร)</t>
  </si>
  <si>
    <t>00330(พาณิชย์)</t>
  </si>
  <si>
    <t>00410(งบกลาง)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</si>
  <si>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</si>
  <si>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</si>
  <si>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</si>
  <si>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</si>
  <si>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431002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</si>
  <si>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</si>
  <si>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</si>
  <si>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</si>
  <si>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</si>
  <si>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</t>
  </si>
  <si>
    <t xml:space="preserve">                ปลัดองค์การบริหารส่วนตำบล</t>
  </si>
  <si>
    <t>18/12/57</t>
  </si>
  <si>
    <t>4056589</t>
  </si>
  <si>
    <t>4056590</t>
  </si>
  <si>
    <t>.</t>
  </si>
  <si>
    <t>(นายสุพจน์  ฤทธิชัย)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</si>
  <si>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</si>
  <si>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</si>
  <si>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</si>
  <si>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27/1/58</t>
  </si>
  <si>
    <t>4056623</t>
  </si>
  <si>
    <t xml:space="preserve">                            ประจำเดือน มีนาคม  พ.ศ.2558  </t>
  </si>
  <si>
    <t>ประจำเดือนมีนาคม  2558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</si>
  <si>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</si>
  <si>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</si>
  <si>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</si>
  <si>
    <t>โครงการป้องกันและแก้ไขปัญหายาเสพติด</t>
  </si>
  <si>
    <t>ประจำเดือน  มีนาคม  2558</t>
  </si>
  <si>
    <t>หมายเหตุประกอบงบทดลอง  ประจำเดือน  มีนาคม  2558</t>
  </si>
  <si>
    <t>วันที่  31 มีนาคม  2558</t>
  </si>
  <si>
    <t>เงินฝาก ธกส.(ประจำ) บัญชี อบต.310000796289</t>
  </si>
  <si>
    <t>20/3/58</t>
  </si>
  <si>
    <t>4056706</t>
  </si>
  <si>
    <t>23/3/58</t>
  </si>
  <si>
    <t>4056714</t>
  </si>
  <si>
    <t>4056716</t>
  </si>
  <si>
    <t>25/3/58</t>
  </si>
  <si>
    <t>4056720</t>
  </si>
  <si>
    <t>27/3/58</t>
  </si>
  <si>
    <t>4056721</t>
  </si>
  <si>
    <t>4056722</t>
  </si>
  <si>
    <t>4056723</t>
  </si>
  <si>
    <t>4056725</t>
  </si>
  <si>
    <t>4056726</t>
  </si>
  <si>
    <t>4056727</t>
  </si>
  <si>
    <t>4056728</t>
  </si>
  <si>
    <t>4056729</t>
  </si>
  <si>
    <t>26/3/58</t>
  </si>
  <si>
    <t>ค่าบริการการแพทย์ฉุกเฉิน</t>
  </si>
  <si>
    <t>28/3/58</t>
  </si>
  <si>
    <t>ดอกเบี้ยเงินฝาก</t>
  </si>
  <si>
    <t>วัน/เดือน/ปี</t>
  </si>
  <si>
    <t>วันที่  31  มีนาคม  2558</t>
  </si>
  <si>
    <t>โครงการก่อสร้างถนน คสล.สายบ้านนายไสว-ฝายน้ำล้นห้วยยูงกลาง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</si>
  <si>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 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</si>
</sst>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6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14"/>
      <name val="Angsana News"/>
      <family val="1"/>
    </font>
    <font>
      <sz val="10"/>
      <name val="Angsana News"/>
      <family val="1"/>
    </font>
    <font>
      <sz val="14"/>
      <name val="Angsana News"/>
      <family val="1"/>
    </font>
    <font>
      <sz val="12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4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/>
    <xf numFmtId="0" fontId="19" fillId="0" borderId="0" xfId="0" applyFont="1"/>
    <xf numFmtId="0" fontId="20" fillId="0" borderId="0" xfId="0" applyFont="1" applyAlignment="1">
      <alignment horizontal="left"/>
    </xf>
    <xf numFmtId="43" fontId="20" fillId="0" borderId="0" xfId="1" applyNumberFormat="1" applyFont="1"/>
    <xf numFmtId="0" fontId="20" fillId="0" borderId="0" xfId="0" applyFont="1"/>
    <xf numFmtId="0" fontId="20" fillId="0" borderId="0" xfId="0" applyFont="1" applyAlignment="1">
      <alignment shrinkToFit="1"/>
    </xf>
    <xf numFmtId="0" fontId="21" fillId="0" borderId="0" xfId="0" applyFont="1" applyAlignment="1">
      <alignment shrinkToFit="1"/>
    </xf>
    <xf numFmtId="0" fontId="20" fillId="0" borderId="1" xfId="0" applyFont="1" applyBorder="1"/>
    <xf numFmtId="0" fontId="20" fillId="0" borderId="3" xfId="0" applyFont="1" applyBorder="1"/>
    <xf numFmtId="49" fontId="20" fillId="0" borderId="9" xfId="0" applyNumberFormat="1" applyFont="1" applyBorder="1" applyAlignment="1">
      <alignment horizontal="center" shrinkToFit="1"/>
    </xf>
    <xf numFmtId="0" fontId="20" fillId="0" borderId="7" xfId="0" applyFont="1" applyBorder="1"/>
    <xf numFmtId="0" fontId="20" fillId="0" borderId="8" xfId="0" applyFont="1" applyBorder="1"/>
    <xf numFmtId="49" fontId="22" fillId="0" borderId="9" xfId="0" applyNumberFormat="1" applyFont="1" applyBorder="1" applyAlignment="1">
      <alignment horizontal="center" shrinkToFit="1"/>
    </xf>
    <xf numFmtId="49" fontId="23" fillId="0" borderId="9" xfId="0" applyNumberFormat="1" applyFont="1" applyBorder="1" applyAlignment="1">
      <alignment horizontal="center" shrinkToFit="1"/>
    </xf>
    <xf numFmtId="49" fontId="24" fillId="0" borderId="9" xfId="0" applyNumberFormat="1" applyFont="1" applyBorder="1" applyAlignment="1">
      <alignment horizontal="center" shrinkToFit="1"/>
    </xf>
    <xf numFmtId="49" fontId="20" fillId="0" borderId="18" xfId="0" applyNumberFormat="1" applyFont="1" applyBorder="1" applyAlignment="1">
      <alignment horizontal="center"/>
    </xf>
    <xf numFmtId="49" fontId="20" fillId="0" borderId="21" xfId="0" applyNumberFormat="1" applyFont="1" applyBorder="1"/>
    <xf numFmtId="43" fontId="20" fillId="0" borderId="9" xfId="1" applyNumberFormat="1" applyFont="1" applyBorder="1" applyAlignment="1">
      <alignment horizontal="center" vertical="center" shrinkToFit="1"/>
    </xf>
    <xf numFmtId="43" fontId="21" fillId="0" borderId="9" xfId="1" applyNumberFormat="1" applyFont="1" applyBorder="1" applyAlignment="1">
      <alignment horizontal="center" vertical="center" shrinkToFit="1"/>
    </xf>
    <xf numFmtId="49" fontId="20" fillId="0" borderId="18" xfId="0" applyNumberFormat="1" applyFont="1" applyBorder="1"/>
    <xf numFmtId="49" fontId="25" fillId="0" borderId="18" xfId="0" applyNumberFormat="1" applyFont="1" applyBorder="1"/>
    <xf numFmtId="49" fontId="25" fillId="0" borderId="21" xfId="0" applyNumberFormat="1" applyFont="1" applyBorder="1" applyAlignment="1">
      <alignment horizontal="right"/>
    </xf>
    <xf numFmtId="43" fontId="25" fillId="0" borderId="9" xfId="1" applyNumberFormat="1" applyFont="1" applyBorder="1" applyAlignment="1">
      <alignment horizontal="center" vertical="center" shrinkToFit="1"/>
    </xf>
    <xf numFmtId="43" fontId="26" fillId="0" borderId="9" xfId="1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/>
    </xf>
    <xf numFmtId="43" fontId="25" fillId="0" borderId="0" xfId="1" applyNumberFormat="1" applyFont="1"/>
    <xf numFmtId="0" fontId="25" fillId="0" borderId="0" xfId="0" applyFont="1"/>
    <xf numFmtId="49" fontId="25" fillId="0" borderId="17" xfId="0" applyNumberFormat="1" applyFont="1" applyBorder="1"/>
    <xf numFmtId="49" fontId="25" fillId="0" borderId="22" xfId="0" applyNumberFormat="1" applyFont="1" applyBorder="1" applyAlignment="1">
      <alignment horizontal="right"/>
    </xf>
    <xf numFmtId="43" fontId="25" fillId="0" borderId="19" xfId="1" applyNumberFormat="1" applyFont="1" applyBorder="1" applyAlignment="1">
      <alignment horizontal="center" vertical="center" shrinkToFit="1"/>
    </xf>
    <xf numFmtId="43" fontId="26" fillId="0" borderId="19" xfId="1" applyNumberFormat="1" applyFont="1" applyBorder="1" applyAlignment="1">
      <alignment horizontal="center" vertical="center" shrinkToFit="1"/>
    </xf>
    <xf numFmtId="43" fontId="25" fillId="0" borderId="0" xfId="0" applyNumberFormat="1" applyFont="1"/>
    <xf numFmtId="49" fontId="20" fillId="0" borderId="7" xfId="0" applyNumberFormat="1" applyFont="1" applyBorder="1" applyAlignment="1">
      <alignment horizontal="center"/>
    </xf>
    <xf numFmtId="49" fontId="20" fillId="0" borderId="8" xfId="0" applyNumberFormat="1" applyFont="1" applyBorder="1"/>
    <xf numFmtId="43" fontId="20" fillId="0" borderId="14" xfId="1" applyNumberFormat="1" applyFont="1" applyBorder="1" applyAlignment="1">
      <alignment horizontal="center" vertical="center" shrinkToFit="1"/>
    </xf>
    <xf numFmtId="43" fontId="21" fillId="0" borderId="14" xfId="1" applyNumberFormat="1" applyFont="1" applyBorder="1" applyAlignment="1">
      <alignment horizontal="center" vertical="center" shrinkToFit="1"/>
    </xf>
    <xf numFmtId="43" fontId="20" fillId="0" borderId="0" xfId="1" applyNumberFormat="1" applyFont="1" applyBorder="1"/>
    <xf numFmtId="49" fontId="20" fillId="0" borderId="23" xfId="0" applyNumberFormat="1" applyFont="1" applyBorder="1"/>
    <xf numFmtId="49" fontId="20" fillId="0" borderId="25" xfId="0" applyNumberFormat="1" applyFont="1" applyBorder="1"/>
    <xf numFmtId="43" fontId="20" fillId="0" borderId="52" xfId="1" applyNumberFormat="1" applyFont="1" applyBorder="1" applyAlignment="1">
      <alignment horizontal="center" vertical="center" shrinkToFit="1"/>
    </xf>
    <xf numFmtId="43" fontId="21" fillId="0" borderId="52" xfId="1" applyNumberFormat="1" applyFont="1" applyBorder="1" applyAlignment="1">
      <alignment horizontal="center" vertical="center" shrinkToFit="1"/>
    </xf>
    <xf numFmtId="49" fontId="20" fillId="0" borderId="7" xfId="0" applyNumberFormat="1" applyFont="1" applyBorder="1"/>
    <xf numFmtId="49" fontId="20" fillId="0" borderId="7" xfId="0" applyNumberFormat="1" applyFont="1" applyFill="1" applyBorder="1" applyAlignment="1">
      <alignment horizontal="center"/>
    </xf>
    <xf numFmtId="49" fontId="20" fillId="0" borderId="8" xfId="0" applyNumberFormat="1" applyFont="1" applyFill="1" applyBorder="1"/>
    <xf numFmtId="43" fontId="20" fillId="0" borderId="14" xfId="1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left"/>
    </xf>
    <xf numFmtId="43" fontId="20" fillId="2" borderId="0" xfId="1" applyNumberFormat="1" applyFont="1" applyFill="1"/>
    <xf numFmtId="0" fontId="20" fillId="2" borderId="0" xfId="0" applyFont="1" applyFill="1"/>
    <xf numFmtId="49" fontId="20" fillId="0" borderId="18" xfId="0" applyNumberFormat="1" applyFont="1" applyFill="1" applyBorder="1"/>
    <xf numFmtId="49" fontId="20" fillId="0" borderId="21" xfId="0" applyNumberFormat="1" applyFont="1" applyFill="1" applyBorder="1"/>
    <xf numFmtId="43" fontId="20" fillId="0" borderId="9" xfId="1" applyNumberFormat="1" applyFont="1" applyFill="1" applyBorder="1" applyAlignment="1">
      <alignment horizontal="center" vertical="center" shrinkToFit="1"/>
    </xf>
    <xf numFmtId="49" fontId="25" fillId="0" borderId="18" xfId="0" applyNumberFormat="1" applyFont="1" applyFill="1" applyBorder="1"/>
    <xf numFmtId="49" fontId="25" fillId="0" borderId="21" xfId="0" applyNumberFormat="1" applyFont="1" applyFill="1" applyBorder="1" applyAlignment="1">
      <alignment horizontal="right"/>
    </xf>
    <xf numFmtId="43" fontId="25" fillId="0" borderId="9" xfId="1" applyNumberFormat="1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left"/>
    </xf>
    <xf numFmtId="43" fontId="25" fillId="2" borderId="0" xfId="1" applyNumberFormat="1" applyFont="1" applyFill="1"/>
    <xf numFmtId="0" fontId="25" fillId="2" borderId="0" xfId="0" applyFont="1" applyFill="1"/>
    <xf numFmtId="49" fontId="25" fillId="0" borderId="17" xfId="0" applyNumberFormat="1" applyFont="1" applyFill="1" applyBorder="1"/>
    <xf numFmtId="49" fontId="25" fillId="0" borderId="22" xfId="0" applyNumberFormat="1" applyFont="1" applyFill="1" applyBorder="1" applyAlignment="1">
      <alignment horizontal="right"/>
    </xf>
    <xf numFmtId="43" fontId="25" fillId="0" borderId="19" xfId="1" applyNumberFormat="1" applyFont="1" applyFill="1" applyBorder="1" applyAlignment="1">
      <alignment horizontal="center" vertical="center" shrinkToFit="1"/>
    </xf>
    <xf numFmtId="43" fontId="25" fillId="2" borderId="0" xfId="0" applyNumberFormat="1" applyFont="1" applyFill="1" applyAlignment="1">
      <alignment horizontal="left"/>
    </xf>
    <xf numFmtId="43" fontId="21" fillId="0" borderId="14" xfId="1" applyNumberFormat="1" applyFont="1" applyFill="1" applyBorder="1" applyAlignment="1">
      <alignment horizontal="center" vertical="center" shrinkToFit="1"/>
    </xf>
    <xf numFmtId="43" fontId="27" fillId="0" borderId="14" xfId="1" applyNumberFormat="1" applyFont="1" applyFill="1" applyBorder="1" applyAlignment="1">
      <alignment horizontal="center" vertical="center" shrinkToFit="1"/>
    </xf>
    <xf numFmtId="43" fontId="21" fillId="0" borderId="9" xfId="1" applyNumberFormat="1" applyFont="1" applyFill="1" applyBorder="1" applyAlignment="1">
      <alignment horizontal="center" vertical="center" shrinkToFit="1"/>
    </xf>
    <xf numFmtId="43" fontId="20" fillId="0" borderId="0" xfId="0" applyNumberFormat="1" applyFont="1"/>
    <xf numFmtId="49" fontId="22" fillId="0" borderId="18" xfId="0" applyNumberFormat="1" applyFont="1" applyFill="1" applyBorder="1"/>
    <xf numFmtId="49" fontId="22" fillId="0" borderId="21" xfId="0" applyNumberFormat="1" applyFont="1" applyFill="1" applyBorder="1" applyAlignment="1">
      <alignment horizontal="right"/>
    </xf>
    <xf numFmtId="43" fontId="22" fillId="0" borderId="9" xfId="1" applyNumberFormat="1" applyFont="1" applyFill="1" applyBorder="1" applyAlignment="1">
      <alignment horizontal="center" vertical="center" shrinkToFit="1"/>
    </xf>
    <xf numFmtId="43" fontId="28" fillId="0" borderId="9" xfId="1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/>
    </xf>
    <xf numFmtId="43" fontId="22" fillId="0" borderId="0" xfId="1" applyNumberFormat="1" applyFont="1"/>
    <xf numFmtId="0" fontId="22" fillId="0" borderId="0" xfId="0" applyFont="1"/>
    <xf numFmtId="49" fontId="22" fillId="0" borderId="17" xfId="0" applyNumberFormat="1" applyFont="1" applyFill="1" applyBorder="1"/>
    <xf numFmtId="49" fontId="22" fillId="0" borderId="22" xfId="0" applyNumberFormat="1" applyFont="1" applyFill="1" applyBorder="1" applyAlignment="1">
      <alignment horizontal="right"/>
    </xf>
    <xf numFmtId="43" fontId="22" fillId="0" borderId="19" xfId="1" applyNumberFormat="1" applyFont="1" applyFill="1" applyBorder="1" applyAlignment="1">
      <alignment horizontal="center" vertical="center" shrinkToFit="1"/>
    </xf>
    <xf numFmtId="43" fontId="28" fillId="0" borderId="19" xfId="1" applyNumberFormat="1" applyFont="1" applyFill="1" applyBorder="1" applyAlignment="1">
      <alignment horizontal="center" vertical="center" shrinkToFit="1"/>
    </xf>
    <xf numFmtId="43" fontId="22" fillId="0" borderId="0" xfId="0" applyNumberFormat="1" applyFont="1"/>
    <xf numFmtId="0" fontId="20" fillId="0" borderId="0" xfId="0" applyFont="1" applyFill="1" applyAlignment="1">
      <alignment horizontal="left"/>
    </xf>
    <xf numFmtId="43" fontId="20" fillId="0" borderId="0" xfId="1" applyNumberFormat="1" applyFont="1" applyFill="1" applyBorder="1"/>
    <xf numFmtId="0" fontId="20" fillId="0" borderId="0" xfId="0" applyFont="1" applyFill="1"/>
    <xf numFmtId="43" fontId="20" fillId="0" borderId="0" xfId="1" applyNumberFormat="1" applyFont="1" applyFill="1"/>
    <xf numFmtId="43" fontId="26" fillId="0" borderId="9" xfId="1" applyNumberFormat="1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left"/>
    </xf>
    <xf numFmtId="43" fontId="25" fillId="0" borderId="0" xfId="1" applyNumberFormat="1" applyFont="1" applyFill="1"/>
    <xf numFmtId="0" fontId="25" fillId="0" borderId="0" xfId="0" applyFont="1" applyFill="1"/>
    <xf numFmtId="43" fontId="26" fillId="0" borderId="19" xfId="1" applyNumberFormat="1" applyFont="1" applyFill="1" applyBorder="1" applyAlignment="1">
      <alignment horizontal="center" vertical="center" shrinkToFit="1"/>
    </xf>
    <xf numFmtId="43" fontId="25" fillId="0" borderId="0" xfId="0" applyNumberFormat="1" applyFont="1" applyFill="1"/>
    <xf numFmtId="43" fontId="20" fillId="0" borderId="53" xfId="1" applyNumberFormat="1" applyFont="1" applyFill="1" applyBorder="1"/>
    <xf numFmtId="43" fontId="28" fillId="0" borderId="56" xfId="0" applyNumberFormat="1" applyFont="1" applyBorder="1" applyAlignment="1">
      <alignment shrinkToFit="1"/>
    </xf>
    <xf numFmtId="0" fontId="21" fillId="0" borderId="0" xfId="0" applyFont="1" applyAlignment="1">
      <alignment horizontal="left"/>
    </xf>
    <xf numFmtId="43" fontId="21" fillId="0" borderId="0" xfId="1" applyNumberFormat="1" applyFont="1"/>
    <xf numFmtId="0" fontId="28" fillId="0" borderId="0" xfId="0" applyFont="1"/>
    <xf numFmtId="0" fontId="20" fillId="0" borderId="0" xfId="0" applyFont="1" applyAlignment="1"/>
    <xf numFmtId="43" fontId="20" fillId="0" borderId="0" xfId="1" applyNumberFormat="1" applyFont="1" applyAlignment="1">
      <alignment shrinkToFit="1"/>
    </xf>
    <xf numFmtId="43" fontId="21" fillId="0" borderId="11" xfId="1" applyNumberFormat="1" applyFont="1" applyBorder="1" applyAlignment="1">
      <alignment shrinkToFit="1"/>
    </xf>
    <xf numFmtId="43" fontId="21" fillId="0" borderId="0" xfId="1" applyNumberFormat="1" applyFont="1" applyBorder="1" applyAlignment="1">
      <alignment shrinkToFit="1"/>
    </xf>
    <xf numFmtId="0" fontId="29" fillId="0" borderId="0" xfId="0" applyFont="1" applyAlignment="1"/>
    <xf numFmtId="43" fontId="21" fillId="0" borderId="6" xfId="1" applyNumberFormat="1" applyFont="1" applyBorder="1" applyAlignment="1">
      <alignment shrinkToFit="1"/>
    </xf>
    <xf numFmtId="0" fontId="30" fillId="0" borderId="0" xfId="0" applyFont="1" applyBorder="1" applyAlignment="1"/>
    <xf numFmtId="0" fontId="31" fillId="0" borderId="0" xfId="0" applyFont="1" applyBorder="1" applyAlignment="1"/>
    <xf numFmtId="0" fontId="20" fillId="0" borderId="0" xfId="0" applyFont="1" applyBorder="1" applyAlignment="1"/>
    <xf numFmtId="0" fontId="20" fillId="0" borderId="0" xfId="0" applyFont="1" applyBorder="1" applyAlignment="1">
      <alignment shrinkToFit="1"/>
    </xf>
    <xf numFmtId="43" fontId="21" fillId="0" borderId="2" xfId="1" applyNumberFormat="1" applyFont="1" applyBorder="1" applyAlignment="1">
      <alignment shrinkToFit="1"/>
    </xf>
    <xf numFmtId="0" fontId="20" fillId="0" borderId="0" xfId="0" applyFont="1" applyBorder="1" applyAlignment="1">
      <alignment horizontal="left"/>
    </xf>
    <xf numFmtId="43" fontId="21" fillId="0" borderId="0" xfId="0" applyNumberFormat="1" applyFont="1" applyBorder="1" applyAlignment="1">
      <alignment shrinkToFit="1"/>
    </xf>
    <xf numFmtId="49" fontId="20" fillId="0" borderId="9" xfId="0" applyNumberFormat="1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/>
    </xf>
    <xf numFmtId="49" fontId="20" fillId="0" borderId="9" xfId="0" applyNumberFormat="1" applyFont="1" applyFill="1" applyBorder="1" applyAlignment="1">
      <alignment horizontal="center"/>
    </xf>
    <xf numFmtId="49" fontId="20" fillId="0" borderId="37" xfId="0" applyNumberFormat="1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/>
    </xf>
    <xf numFmtId="49" fontId="20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0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44" fillId="0" borderId="13" xfId="0" applyFont="1" applyBorder="1"/>
    <xf numFmtId="0" fontId="44" fillId="0" borderId="4" xfId="0" applyFont="1" applyBorder="1"/>
    <xf numFmtId="0" fontId="4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 vertical="center" wrapText="1"/>
    </xf>
    <xf numFmtId="0" fontId="44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/>
    <xf numFmtId="0" fontId="44" fillId="0" borderId="0" xfId="0" applyFont="1" applyFill="1" applyAlignment="1">
      <alignment horizontal="center"/>
    </xf>
    <xf numFmtId="0" fontId="44" fillId="0" borderId="10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/>
    </xf>
    <xf numFmtId="0" fontId="47" fillId="0" borderId="1" xfId="0" applyFont="1" applyFill="1" applyBorder="1"/>
    <xf numFmtId="0" fontId="48" fillId="0" borderId="3" xfId="0" applyFont="1" applyFill="1" applyBorder="1"/>
    <xf numFmtId="43" fontId="48" fillId="0" borderId="10" xfId="0" applyNumberFormat="1" applyFont="1" applyFill="1" applyBorder="1"/>
    <xf numFmtId="49" fontId="48" fillId="0" borderId="10" xfId="0" applyNumberFormat="1" applyFont="1" applyFill="1" applyBorder="1" applyAlignment="1">
      <alignment horizontal="center"/>
    </xf>
    <xf numFmtId="0" fontId="49" fillId="0" borderId="0" xfId="0" applyFont="1" applyFill="1"/>
    <xf numFmtId="0" fontId="50" fillId="0" borderId="4" xfId="0" applyFont="1" applyFill="1" applyBorder="1"/>
    <xf numFmtId="0" fontId="51" fillId="0" borderId="5" xfId="0" applyFont="1" applyFill="1" applyBorder="1"/>
    <xf numFmtId="43" fontId="51" fillId="0" borderId="9" xfId="1" applyNumberFormat="1" applyFont="1" applyFill="1" applyBorder="1"/>
    <xf numFmtId="49" fontId="51" fillId="0" borderId="9" xfId="0" applyNumberFormat="1" applyFont="1" applyFill="1" applyBorder="1" applyAlignment="1">
      <alignment horizontal="center"/>
    </xf>
    <xf numFmtId="43" fontId="51" fillId="0" borderId="9" xfId="0" applyNumberFormat="1" applyFont="1" applyFill="1" applyBorder="1"/>
    <xf numFmtId="43" fontId="44" fillId="0" borderId="0" xfId="0" applyNumberFormat="1" applyFont="1" applyFill="1"/>
    <xf numFmtId="0" fontId="44" fillId="0" borderId="4" xfId="0" applyFont="1" applyFill="1" applyBorder="1"/>
    <xf numFmtId="0" fontId="44" fillId="0" borderId="5" xfId="0" applyFont="1" applyFill="1" applyBorder="1"/>
    <xf numFmtId="43" fontId="44" fillId="0" borderId="13" xfId="1" applyNumberFormat="1" applyFont="1" applyFill="1" applyBorder="1"/>
    <xf numFmtId="49" fontId="44" fillId="0" borderId="4" xfId="0" applyNumberFormat="1" applyFont="1" applyFill="1" applyBorder="1" applyAlignment="1">
      <alignment horizontal="center"/>
    </xf>
    <xf numFmtId="43" fontId="51" fillId="0" borderId="13" xfId="0" applyNumberFormat="1" applyFont="1" applyFill="1" applyBorder="1"/>
    <xf numFmtId="49" fontId="44" fillId="0" borderId="13" xfId="0" applyNumberFormat="1" applyFont="1" applyFill="1" applyBorder="1" applyAlignment="1">
      <alignment horizontal="center"/>
    </xf>
    <xf numFmtId="43" fontId="44" fillId="0" borderId="13" xfId="1" applyNumberFormat="1" applyFont="1" applyFill="1" applyBorder="1" applyAlignment="1"/>
    <xf numFmtId="0" fontId="44" fillId="0" borderId="0" xfId="0" applyFont="1" applyFill="1" applyBorder="1"/>
    <xf numFmtId="0" fontId="50" fillId="0" borderId="4" xfId="0" applyFont="1" applyFill="1" applyBorder="1" applyAlignment="1">
      <alignment horizontal="left"/>
    </xf>
    <xf numFmtId="0" fontId="51" fillId="0" borderId="0" xfId="0" applyFont="1" applyFill="1" applyBorder="1"/>
    <xf numFmtId="49" fontId="44" fillId="0" borderId="14" xfId="0" applyNumberFormat="1" applyFont="1" applyFill="1" applyBorder="1" applyAlignment="1">
      <alignment horizontal="center"/>
    </xf>
    <xf numFmtId="43" fontId="51" fillId="0" borderId="9" xfId="1" applyNumberFormat="1" applyFont="1" applyFill="1" applyBorder="1" applyAlignment="1"/>
    <xf numFmtId="43" fontId="51" fillId="0" borderId="10" xfId="0" applyNumberFormat="1" applyFont="1" applyFill="1" applyBorder="1"/>
    <xf numFmtId="0" fontId="44" fillId="0" borderId="7" xfId="0" applyFont="1" applyFill="1" applyBorder="1"/>
    <xf numFmtId="0" fontId="44" fillId="0" borderId="8" xfId="0" applyFont="1" applyFill="1" applyBorder="1"/>
    <xf numFmtId="43" fontId="44" fillId="0" borderId="14" xfId="1" applyNumberFormat="1" applyFont="1" applyFill="1" applyBorder="1" applyAlignment="1"/>
    <xf numFmtId="43" fontId="44" fillId="0" borderId="14" xfId="1" applyNumberFormat="1" applyFont="1" applyFill="1" applyBorder="1" applyAlignment="1">
      <alignment horizontal="center"/>
    </xf>
    <xf numFmtId="49" fontId="44" fillId="0" borderId="7" xfId="0" applyNumberFormat="1" applyFont="1" applyFill="1" applyBorder="1" applyAlignment="1">
      <alignment horizontal="center"/>
    </xf>
    <xf numFmtId="43" fontId="51" fillId="0" borderId="14" xfId="0" applyNumberFormat="1" applyFont="1" applyFill="1" applyBorder="1"/>
    <xf numFmtId="43" fontId="48" fillId="0" borderId="9" xfId="1" applyNumberFormat="1" applyFont="1" applyFill="1" applyBorder="1"/>
    <xf numFmtId="43" fontId="48" fillId="0" borderId="9" xfId="1" applyNumberFormat="1" applyFont="1" applyFill="1" applyBorder="1" applyAlignment="1">
      <alignment horizontal="center"/>
    </xf>
    <xf numFmtId="0" fontId="47" fillId="0" borderId="13" xfId="0" applyFont="1" applyFill="1" applyBorder="1"/>
    <xf numFmtId="0" fontId="48" fillId="0" borderId="0" xfId="0" applyFont="1" applyFill="1"/>
    <xf numFmtId="49" fontId="48" fillId="0" borderId="9" xfId="0" applyNumberFormat="1" applyFont="1" applyFill="1" applyBorder="1" applyAlignment="1">
      <alignment horizontal="center"/>
    </xf>
    <xf numFmtId="0" fontId="47" fillId="0" borderId="4" xfId="0" applyFont="1" applyFill="1" applyBorder="1"/>
    <xf numFmtId="0" fontId="48" fillId="0" borderId="5" xfId="0" applyFont="1" applyFill="1" applyBorder="1"/>
    <xf numFmtId="43" fontId="48" fillId="0" borderId="9" xfId="1" applyNumberFormat="1" applyFont="1" applyFill="1" applyBorder="1" applyAlignment="1"/>
    <xf numFmtId="43" fontId="44" fillId="0" borderId="13" xfId="1" applyNumberFormat="1" applyFont="1" applyFill="1" applyBorder="1" applyAlignment="1">
      <alignment horizontal="center"/>
    </xf>
    <xf numFmtId="0" fontId="47" fillId="0" borderId="18" xfId="0" applyFont="1" applyFill="1" applyBorder="1"/>
    <xf numFmtId="0" fontId="48" fillId="0" borderId="21" xfId="0" applyFont="1" applyFill="1" applyBorder="1"/>
    <xf numFmtId="43" fontId="49" fillId="0" borderId="0" xfId="0" applyNumberFormat="1" applyFont="1" applyFill="1"/>
    <xf numFmtId="0" fontId="47" fillId="0" borderId="0" xfId="0" applyFont="1" applyFill="1" applyBorder="1"/>
    <xf numFmtId="0" fontId="48" fillId="0" borderId="0" xfId="0" applyFont="1" applyFill="1" applyBorder="1"/>
    <xf numFmtId="43" fontId="48" fillId="0" borderId="0" xfId="1" applyNumberFormat="1" applyFont="1" applyFill="1" applyBorder="1" applyAlignment="1"/>
    <xf numFmtId="49" fontId="48" fillId="0" borderId="0" xfId="0" applyNumberFormat="1" applyFont="1" applyFill="1" applyBorder="1" applyAlignment="1">
      <alignment horizontal="center"/>
    </xf>
    <xf numFmtId="43" fontId="48" fillId="0" borderId="0" xfId="1" applyNumberFormat="1" applyFont="1" applyFill="1" applyBorder="1"/>
    <xf numFmtId="0" fontId="44" fillId="0" borderId="0" xfId="0" applyFont="1" applyBorder="1" applyAlignment="1">
      <alignment horizontal="left"/>
    </xf>
    <xf numFmtId="0" fontId="44" fillId="0" borderId="0" xfId="0" applyFont="1" applyAlignment="1">
      <alignment horizontal="left"/>
    </xf>
    <xf numFmtId="43" fontId="44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44" fillId="0" borderId="13" xfId="0" applyFont="1" applyFill="1" applyBorder="1"/>
    <xf numFmtId="187" fontId="14" fillId="0" borderId="13" xfId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43" fontId="48" fillId="0" borderId="13" xfId="1" applyNumberFormat="1" applyFont="1" applyFill="1" applyBorder="1" applyAlignment="1"/>
    <xf numFmtId="49" fontId="48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3" fillId="0" borderId="0" xfId="0" applyFont="1"/>
    <xf numFmtId="49" fontId="52" fillId="0" borderId="9" xfId="4" applyNumberFormat="1" applyFont="1" applyBorder="1" applyAlignment="1">
      <alignment horizontal="center" vertical="center"/>
    </xf>
    <xf numFmtId="49" fontId="54" fillId="0" borderId="9" xfId="4" applyNumberFormat="1" applyFont="1" applyBorder="1" applyAlignment="1">
      <alignment horizontal="center" vertical="center"/>
    </xf>
    <xf numFmtId="0" fontId="54" fillId="0" borderId="4" xfId="4" applyFont="1" applyBorder="1" applyAlignment="1">
      <alignment horizontal="left" vertical="center"/>
    </xf>
    <xf numFmtId="0" fontId="54" fillId="0" borderId="0" xfId="4" applyFont="1" applyBorder="1" applyAlignment="1">
      <alignment horizontal="left" vertical="center"/>
    </xf>
    <xf numFmtId="0" fontId="54" fillId="0" borderId="5" xfId="4" applyFont="1" applyBorder="1" applyAlignment="1">
      <alignment horizontal="left" vertical="center"/>
    </xf>
    <xf numFmtId="43" fontId="54" fillId="0" borderId="1" xfId="2" applyNumberFormat="1" applyFont="1" applyBorder="1" applyAlignment="1">
      <alignment horizontal="center" vertical="center"/>
    </xf>
    <xf numFmtId="43" fontId="54" fillId="0" borderId="3" xfId="2" applyNumberFormat="1" applyFont="1" applyBorder="1" applyAlignment="1">
      <alignment horizontal="center" vertical="center"/>
    </xf>
    <xf numFmtId="43" fontId="53" fillId="0" borderId="0" xfId="0" applyNumberFormat="1" applyFont="1"/>
    <xf numFmtId="0" fontId="54" fillId="0" borderId="18" xfId="4" applyFont="1" applyBorder="1" applyAlignment="1">
      <alignment horizontal="left" vertical="center"/>
    </xf>
    <xf numFmtId="0" fontId="54" fillId="0" borderId="20" xfId="4" applyFont="1" applyBorder="1" applyAlignment="1">
      <alignment horizontal="left" vertical="center"/>
    </xf>
    <xf numFmtId="0" fontId="54" fillId="0" borderId="21" xfId="4" applyFont="1" applyBorder="1" applyAlignment="1">
      <alignment horizontal="left" vertical="center"/>
    </xf>
    <xf numFmtId="43" fontId="54" fillId="0" borderId="18" xfId="2" applyNumberFormat="1" applyFont="1" applyBorder="1" applyAlignment="1">
      <alignment horizontal="center" vertical="center"/>
    </xf>
    <xf numFmtId="43" fontId="54" fillId="0" borderId="21" xfId="2" applyNumberFormat="1" applyFont="1" applyBorder="1" applyAlignment="1">
      <alignment horizontal="center" vertical="center"/>
    </xf>
    <xf numFmtId="0" fontId="54" fillId="0" borderId="0" xfId="4" applyFont="1" applyBorder="1"/>
    <xf numFmtId="49" fontId="54" fillId="0" borderId="0" xfId="4" applyNumberFormat="1" applyFont="1" applyBorder="1" applyAlignment="1">
      <alignment horizontal="center"/>
    </xf>
    <xf numFmtId="0" fontId="54" fillId="0" borderId="0" xfId="0" applyFont="1"/>
    <xf numFmtId="0" fontId="54" fillId="0" borderId="0" xfId="0" applyFont="1" applyFill="1" applyAlignment="1">
      <alignment vertical="center"/>
    </xf>
    <xf numFmtId="188" fontId="54" fillId="0" borderId="0" xfId="1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188" fontId="54" fillId="0" borderId="0" xfId="1" applyNumberFormat="1" applyFont="1" applyFill="1" applyAlignment="1">
      <alignment vertical="center"/>
    </xf>
    <xf numFmtId="43" fontId="54" fillId="0" borderId="0" xfId="0" applyNumberFormat="1" applyFont="1"/>
    <xf numFmtId="0" fontId="3" fillId="0" borderId="0" xfId="0" applyFont="1" applyBorder="1" applyAlignment="1">
      <alignment horizontal="center"/>
    </xf>
    <xf numFmtId="43" fontId="54" fillId="0" borderId="1" xfId="2" applyNumberFormat="1" applyFont="1" applyBorder="1" applyAlignment="1">
      <alignment horizontal="center" vertical="center"/>
    </xf>
    <xf numFmtId="43" fontId="54" fillId="0" borderId="3" xfId="2" applyNumberFormat="1" applyFont="1" applyBorder="1" applyAlignment="1">
      <alignment horizontal="center" vertical="center"/>
    </xf>
    <xf numFmtId="0" fontId="54" fillId="0" borderId="18" xfId="4" applyFont="1" applyBorder="1" applyAlignment="1">
      <alignment horizontal="left" vertical="center"/>
    </xf>
    <xf numFmtId="0" fontId="54" fillId="0" borderId="20" xfId="4" applyFont="1" applyBorder="1" applyAlignment="1">
      <alignment horizontal="left" vertical="center"/>
    </xf>
    <xf numFmtId="0" fontId="54" fillId="0" borderId="21" xfId="4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0" fontId="55" fillId="0" borderId="13" xfId="0" applyFont="1" applyFill="1" applyBorder="1"/>
    <xf numFmtId="49" fontId="11" fillId="0" borderId="0" xfId="0" applyNumberFormat="1" applyFont="1" applyBorder="1" applyAlignment="1">
      <alignment shrinkToFit="1"/>
    </xf>
    <xf numFmtId="0" fontId="3" fillId="0" borderId="0" xfId="0" applyFont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4" fillId="0" borderId="9" xfId="4" applyFont="1" applyBorder="1" applyAlignment="1">
      <alignment horizontal="left" vertical="center"/>
    </xf>
    <xf numFmtId="43" fontId="54" fillId="0" borderId="1" xfId="2" applyNumberFormat="1" applyFont="1" applyBorder="1" applyAlignment="1">
      <alignment horizontal="center" vertical="center"/>
    </xf>
    <xf numFmtId="43" fontId="54" fillId="0" borderId="3" xfId="2" applyNumberFormat="1" applyFont="1" applyBorder="1" applyAlignment="1">
      <alignment horizontal="center" vertical="center"/>
    </xf>
    <xf numFmtId="0" fontId="54" fillId="0" borderId="18" xfId="4" applyFont="1" applyBorder="1" applyAlignment="1">
      <alignment horizontal="left" vertical="center"/>
    </xf>
    <xf numFmtId="0" fontId="54" fillId="0" borderId="20" xfId="4" applyFont="1" applyBorder="1" applyAlignment="1">
      <alignment horizontal="left" vertical="center"/>
    </xf>
    <xf numFmtId="0" fontId="54" fillId="0" borderId="21" xfId="4" applyFont="1" applyBorder="1" applyAlignment="1">
      <alignment horizontal="left" vertical="center"/>
    </xf>
    <xf numFmtId="43" fontId="54" fillId="0" borderId="18" xfId="2" applyNumberFormat="1" applyFont="1" applyBorder="1" applyAlignment="1">
      <alignment horizontal="center" vertical="center"/>
    </xf>
    <xf numFmtId="43" fontId="54" fillId="0" borderId="21" xfId="2" applyNumberFormat="1" applyFont="1" applyBorder="1" applyAlignment="1">
      <alignment horizontal="center" vertical="center"/>
    </xf>
    <xf numFmtId="0" fontId="54" fillId="0" borderId="7" xfId="4" applyFont="1" applyBorder="1" applyAlignment="1">
      <alignment horizontal="left" vertical="center"/>
    </xf>
    <xf numFmtId="0" fontId="54" fillId="0" borderId="6" xfId="4" applyFont="1" applyBorder="1" applyAlignment="1">
      <alignment horizontal="left" vertical="center"/>
    </xf>
    <xf numFmtId="0" fontId="54" fillId="0" borderId="8" xfId="4" applyFont="1" applyBorder="1" applyAlignment="1">
      <alignment horizontal="left" vertical="center"/>
    </xf>
    <xf numFmtId="43" fontId="54" fillId="0" borderId="9" xfId="2" applyNumberFormat="1" applyFont="1" applyBorder="1" applyAlignment="1">
      <alignment horizontal="left" vertical="center"/>
    </xf>
    <xf numFmtId="188" fontId="54" fillId="0" borderId="9" xfId="2" applyNumberFormat="1" applyFont="1" applyBorder="1" applyAlignment="1">
      <alignment horizontal="left" vertical="center"/>
    </xf>
    <xf numFmtId="0" fontId="54" fillId="0" borderId="1" xfId="4" applyFont="1" applyBorder="1" applyAlignment="1">
      <alignment horizontal="left" vertical="center"/>
    </xf>
    <xf numFmtId="0" fontId="54" fillId="0" borderId="2" xfId="4" applyFont="1" applyBorder="1" applyAlignment="1">
      <alignment horizontal="left" vertical="center"/>
    </xf>
    <xf numFmtId="0" fontId="54" fillId="0" borderId="3" xfId="4" applyFont="1" applyBorder="1" applyAlignment="1">
      <alignment horizontal="left" vertical="center"/>
    </xf>
    <xf numFmtId="43" fontId="54" fillId="0" borderId="4" xfId="2" applyNumberFormat="1" applyFont="1" applyBorder="1" applyAlignment="1">
      <alignment horizontal="center" vertical="center"/>
    </xf>
    <xf numFmtId="43" fontId="54" fillId="0" borderId="5" xfId="2" applyNumberFormat="1" applyFont="1" applyBorder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2" fillId="0" borderId="6" xfId="4" applyFont="1" applyBorder="1" applyAlignment="1">
      <alignment horizontal="center" vertical="center"/>
    </xf>
    <xf numFmtId="0" fontId="52" fillId="0" borderId="18" xfId="4" applyFont="1" applyBorder="1" applyAlignment="1">
      <alignment horizontal="center" vertical="center"/>
    </xf>
    <xf numFmtId="0" fontId="52" fillId="0" borderId="20" xfId="4" applyFont="1" applyBorder="1" applyAlignment="1">
      <alignment horizontal="center" vertical="center"/>
    </xf>
    <xf numFmtId="0" fontId="52" fillId="0" borderId="21" xfId="4" applyFont="1" applyBorder="1" applyAlignment="1">
      <alignment horizontal="center" vertical="center"/>
    </xf>
    <xf numFmtId="188" fontId="52" fillId="0" borderId="18" xfId="2" applyNumberFormat="1" applyFont="1" applyBorder="1" applyAlignment="1">
      <alignment horizontal="center" vertical="center"/>
    </xf>
    <xf numFmtId="188" fontId="52" fillId="0" borderId="21" xfId="2" applyNumberFormat="1" applyFont="1" applyBorder="1" applyAlignment="1">
      <alignment horizontal="center" vertical="center"/>
    </xf>
    <xf numFmtId="43" fontId="54" fillId="0" borderId="26" xfId="2" applyNumberFormat="1" applyFont="1" applyBorder="1" applyAlignment="1">
      <alignment horizontal="center" vertical="center"/>
    </xf>
    <xf numFmtId="43" fontId="54" fillId="0" borderId="27" xfId="2" applyNumberFormat="1" applyFont="1" applyBorder="1" applyAlignment="1">
      <alignment horizontal="center" vertical="center"/>
    </xf>
    <xf numFmtId="187" fontId="54" fillId="0" borderId="1" xfId="1" applyFont="1" applyBorder="1" applyAlignment="1">
      <alignment horizontal="center" vertical="center"/>
    </xf>
    <xf numFmtId="187" fontId="54" fillId="0" borderId="3" xfId="1" applyFont="1" applyBorder="1" applyAlignment="1">
      <alignment horizontal="center" vertical="center"/>
    </xf>
    <xf numFmtId="188" fontId="54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4" fillId="0" borderId="1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0" fillId="0" borderId="18" xfId="0" applyNumberFormat="1" applyFont="1" applyBorder="1" applyAlignment="1">
      <alignment horizontal="center" shrinkToFit="1"/>
    </xf>
    <xf numFmtId="49" fontId="20" fillId="0" borderId="21" xfId="0" applyNumberFormat="1" applyFont="1" applyBorder="1" applyAlignment="1">
      <alignment horizontal="center" shrinkToFit="1"/>
    </xf>
    <xf numFmtId="49" fontId="20" fillId="0" borderId="20" xfId="0" applyNumberFormat="1" applyFont="1" applyBorder="1" applyAlignment="1">
      <alignment horizont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8" fillId="0" borderId="54" xfId="0" applyFont="1" applyBorder="1" applyAlignment="1">
      <alignment horizontal="center" shrinkToFit="1"/>
    </xf>
    <xf numFmtId="0" fontId="28" fillId="0" borderId="55" xfId="0" applyFont="1" applyBorder="1" applyAlignment="1">
      <alignment horizontal="center" shrinkToFit="1"/>
    </xf>
    <xf numFmtId="0" fontId="20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99" name="Line 1"/>
        <xdr:cNvSpPr>
          <a:spLocks noChangeShapeType="1"/>
        </xdr:cNvSpPr>
      </xdr:nvSpPr>
      <xdr:spPr bwMode="auto">
        <a:xfrm flipV="1">
          <a:off x="2209800" y="194214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100" name="Line 1"/>
        <xdr:cNvSpPr>
          <a:spLocks noChangeShapeType="1"/>
        </xdr:cNvSpPr>
      </xdr:nvSpPr>
      <xdr:spPr bwMode="auto">
        <a:xfrm flipV="1">
          <a:off x="209550" y="197612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101" name="Line 2"/>
        <xdr:cNvSpPr>
          <a:spLocks noChangeShapeType="1"/>
        </xdr:cNvSpPr>
      </xdr:nvSpPr>
      <xdr:spPr bwMode="auto">
        <a:xfrm flipV="1">
          <a:off x="4486271" y="197691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102" name="Line 2"/>
        <xdr:cNvSpPr>
          <a:spLocks noChangeShapeType="1"/>
        </xdr:cNvSpPr>
      </xdr:nvSpPr>
      <xdr:spPr bwMode="auto">
        <a:xfrm flipV="1">
          <a:off x="2160587" y="197453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103" name="Line 1"/>
        <xdr:cNvSpPr>
          <a:spLocks noChangeShapeType="1"/>
        </xdr:cNvSpPr>
      </xdr:nvSpPr>
      <xdr:spPr bwMode="auto">
        <a:xfrm flipV="1">
          <a:off x="190500" y="20399376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104" name="Line 2"/>
        <xdr:cNvSpPr>
          <a:spLocks noChangeShapeType="1"/>
        </xdr:cNvSpPr>
      </xdr:nvSpPr>
      <xdr:spPr bwMode="auto">
        <a:xfrm flipV="1">
          <a:off x="4467221" y="203977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46</xdr:row>
      <xdr:rowOff>96852</xdr:rowOff>
    </xdr:from>
    <xdr:to>
      <xdr:col>2</xdr:col>
      <xdr:colOff>82554</xdr:colOff>
      <xdr:row>46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46</xdr:row>
      <xdr:rowOff>95265</xdr:rowOff>
    </xdr:from>
    <xdr:to>
      <xdr:col>9</xdr:col>
      <xdr:colOff>800100</xdr:colOff>
      <xdr:row>46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46</xdr:row>
      <xdr:rowOff>87327</xdr:rowOff>
    </xdr:from>
    <xdr:to>
      <xdr:col>5</xdr:col>
      <xdr:colOff>447678</xdr:colOff>
      <xdr:row>46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44</xdr:row>
      <xdr:rowOff>7955</xdr:rowOff>
    </xdr:from>
    <xdr:to>
      <xdr:col>2</xdr:col>
      <xdr:colOff>58742</xdr:colOff>
      <xdr:row>44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44</xdr:row>
      <xdr:rowOff>15893</xdr:rowOff>
    </xdr:from>
    <xdr:to>
      <xdr:col>9</xdr:col>
      <xdr:colOff>404813</xdr:colOff>
      <xdr:row>44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43</xdr:row>
      <xdr:rowOff>314341</xdr:rowOff>
    </xdr:from>
    <xdr:to>
      <xdr:col>5</xdr:col>
      <xdr:colOff>376241</xdr:colOff>
      <xdr:row>43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5"/>
  <sheetViews>
    <sheetView topLeftCell="B56" zoomScale="140" zoomScaleNormal="140" workbookViewId="0">
      <selection activeCell="H54" sqref="H54:I54"/>
    </sheetView>
  </sheetViews>
  <sheetFormatPr defaultColWidth="9.140625" defaultRowHeight="19.5" customHeight="1"/>
  <cols>
    <col min="1" max="1" width="16.42578125" style="66" customWidth="1"/>
    <col min="2" max="2" width="4.42578125" style="76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8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12" t="s">
        <v>81</v>
      </c>
      <c r="B2" s="412"/>
      <c r="C2" s="412"/>
      <c r="D2" s="412"/>
      <c r="E2" s="412"/>
      <c r="F2" s="412"/>
      <c r="G2" s="412"/>
      <c r="H2" s="412"/>
      <c r="I2" s="412"/>
    </row>
    <row r="3" spans="1:12" ht="23.1" customHeight="1">
      <c r="A3" s="412" t="s">
        <v>80</v>
      </c>
      <c r="B3" s="412"/>
      <c r="C3" s="412"/>
      <c r="D3" s="412"/>
      <c r="E3" s="412"/>
      <c r="F3" s="412"/>
      <c r="G3" s="412"/>
      <c r="H3" s="412"/>
      <c r="I3" s="412"/>
    </row>
    <row r="4" spans="1:12" ht="23.1" customHeight="1">
      <c r="A4" s="413" t="s">
        <v>398</v>
      </c>
      <c r="B4" s="413"/>
      <c r="C4" s="413"/>
      <c r="D4" s="413"/>
      <c r="E4" s="413"/>
      <c r="F4" s="413"/>
      <c r="G4" s="413"/>
      <c r="H4" s="413"/>
      <c r="I4" s="413"/>
    </row>
    <row r="5" spans="1:12" ht="23.1" customHeight="1">
      <c r="A5" s="412" t="s">
        <v>79</v>
      </c>
      <c r="B5" s="412"/>
      <c r="C5" s="412"/>
      <c r="D5" s="412"/>
      <c r="E5" s="412"/>
      <c r="F5" s="412"/>
      <c r="G5" s="412"/>
      <c r="H5" s="412"/>
      <c r="I5" s="412"/>
    </row>
    <row r="6" spans="1:12" ht="26.45" customHeight="1" thickBot="1">
      <c r="A6" s="414" t="s">
        <v>435</v>
      </c>
      <c r="B6" s="414"/>
      <c r="C6" s="414"/>
      <c r="D6" s="414"/>
      <c r="E6" s="414"/>
      <c r="F6" s="414"/>
      <c r="G6" s="414"/>
      <c r="H6" s="414"/>
      <c r="I6" s="414"/>
    </row>
    <row r="7" spans="1:12" ht="21" thickTop="1">
      <c r="A7" s="415" t="s">
        <v>71</v>
      </c>
      <c r="B7" s="416"/>
      <c r="C7" s="416"/>
      <c r="D7" s="417"/>
      <c r="E7" s="418" t="s">
        <v>70</v>
      </c>
      <c r="F7" s="419"/>
      <c r="G7" s="424" t="s">
        <v>2</v>
      </c>
      <c r="H7" s="427" t="s">
        <v>69</v>
      </c>
      <c r="I7" s="428"/>
    </row>
    <row r="8" spans="1:12" ht="20.25">
      <c r="A8" s="429" t="s">
        <v>68</v>
      </c>
      <c r="B8" s="430"/>
      <c r="C8" s="356" t="s">
        <v>67</v>
      </c>
      <c r="D8" s="356"/>
      <c r="E8" s="420"/>
      <c r="F8" s="421"/>
      <c r="G8" s="425"/>
      <c r="H8" s="400" t="s">
        <v>67</v>
      </c>
      <c r="I8" s="401"/>
    </row>
    <row r="9" spans="1:12" ht="21" thickBot="1">
      <c r="A9" s="402" t="s">
        <v>26</v>
      </c>
      <c r="B9" s="403"/>
      <c r="C9" s="33" t="s">
        <v>26</v>
      </c>
      <c r="D9" s="33"/>
      <c r="E9" s="422"/>
      <c r="F9" s="423"/>
      <c r="G9" s="426"/>
      <c r="H9" s="404" t="s">
        <v>26</v>
      </c>
      <c r="I9" s="405"/>
    </row>
    <row r="10" spans="1:12" ht="24" customHeight="1" thickTop="1">
      <c r="A10" s="60"/>
      <c r="B10" s="67"/>
      <c r="C10" s="406">
        <v>29085189.52</v>
      </c>
      <c r="D10" s="407"/>
      <c r="E10" s="408" t="s">
        <v>55</v>
      </c>
      <c r="F10" s="409"/>
      <c r="G10" s="34"/>
      <c r="H10" s="410">
        <v>35573919.18</v>
      </c>
      <c r="I10" s="411"/>
    </row>
    <row r="11" spans="1:12" ht="24.95" customHeight="1">
      <c r="A11" s="60"/>
      <c r="B11" s="68"/>
      <c r="C11" s="356"/>
      <c r="D11" s="35"/>
      <c r="E11" s="433" t="s">
        <v>78</v>
      </c>
      <c r="F11" s="434"/>
      <c r="G11" s="36"/>
      <c r="H11" s="410"/>
      <c r="I11" s="411"/>
    </row>
    <row r="12" spans="1:12" ht="24.95" customHeight="1">
      <c r="A12" s="60">
        <v>241300</v>
      </c>
      <c r="B12" s="36" t="s">
        <v>5</v>
      </c>
      <c r="C12" s="410">
        <f>2706.88+4963.21-938.39+23415.58+58851.65+39589.76</f>
        <v>128588.69</v>
      </c>
      <c r="D12" s="411"/>
      <c r="E12" s="431" t="s">
        <v>124</v>
      </c>
      <c r="F12" s="432"/>
      <c r="G12" s="36" t="s">
        <v>112</v>
      </c>
      <c r="H12" s="410">
        <v>39589.760000000002</v>
      </c>
      <c r="I12" s="411"/>
      <c r="J12" s="38"/>
      <c r="K12" s="38"/>
      <c r="L12" s="77"/>
    </row>
    <row r="13" spans="1:12" ht="24.95" customHeight="1">
      <c r="A13" s="60">
        <v>52200</v>
      </c>
      <c r="B13" s="36" t="s">
        <v>5</v>
      </c>
      <c r="C13" s="410">
        <f>50+610+900+142+130+658</f>
        <v>2490</v>
      </c>
      <c r="D13" s="411"/>
      <c r="E13" s="431" t="s">
        <v>123</v>
      </c>
      <c r="F13" s="432"/>
      <c r="G13" s="36" t="s">
        <v>113</v>
      </c>
      <c r="H13" s="410">
        <v>658</v>
      </c>
      <c r="I13" s="411"/>
      <c r="J13" s="38"/>
      <c r="K13" s="38"/>
    </row>
    <row r="14" spans="1:12" ht="24.95" customHeight="1">
      <c r="A14" s="60">
        <v>226500</v>
      </c>
      <c r="B14" s="36" t="s">
        <v>5</v>
      </c>
      <c r="C14" s="410">
        <f>15617.09+20714.83+306432.97</f>
        <v>342764.88999999996</v>
      </c>
      <c r="D14" s="411"/>
      <c r="E14" s="431" t="s">
        <v>122</v>
      </c>
      <c r="F14" s="432"/>
      <c r="G14" s="36" t="s">
        <v>114</v>
      </c>
      <c r="H14" s="410">
        <v>306432.96999999997</v>
      </c>
      <c r="I14" s="411"/>
      <c r="J14" s="38"/>
      <c r="K14" s="38"/>
    </row>
    <row r="15" spans="1:12" ht="24.95" customHeight="1">
      <c r="A15" s="60">
        <v>716000</v>
      </c>
      <c r="B15" s="36" t="s">
        <v>5</v>
      </c>
      <c r="C15" s="410">
        <f>44225+47900+50980+56340+56415+53235</f>
        <v>309095</v>
      </c>
      <c r="D15" s="411"/>
      <c r="E15" s="431" t="s">
        <v>121</v>
      </c>
      <c r="F15" s="432"/>
      <c r="G15" s="36" t="s">
        <v>115</v>
      </c>
      <c r="H15" s="410">
        <v>53235</v>
      </c>
      <c r="I15" s="411"/>
      <c r="J15" s="38"/>
      <c r="K15" s="38"/>
    </row>
    <row r="16" spans="1:12" ht="24.95" customHeight="1">
      <c r="A16" s="60">
        <v>100000</v>
      </c>
      <c r="B16" s="36" t="s">
        <v>5</v>
      </c>
      <c r="C16" s="410">
        <f>8000+30500+25000+27000+5750+6450</f>
        <v>102700</v>
      </c>
      <c r="D16" s="411"/>
      <c r="E16" s="431" t="s">
        <v>120</v>
      </c>
      <c r="F16" s="432"/>
      <c r="G16" s="36" t="s">
        <v>116</v>
      </c>
      <c r="H16" s="410">
        <v>6450</v>
      </c>
      <c r="I16" s="411"/>
      <c r="J16" s="38"/>
      <c r="K16" s="38"/>
    </row>
    <row r="17" spans="1:11" ht="24.95" customHeight="1">
      <c r="A17" s="60">
        <v>14891700</v>
      </c>
      <c r="B17" s="36" t="s">
        <v>5</v>
      </c>
      <c r="C17" s="410">
        <f>1403238.26+1528344.32+509585.93+1448527.29+1329128.02+1872449.96</f>
        <v>8091273.7800000003</v>
      </c>
      <c r="D17" s="411"/>
      <c r="E17" s="431" t="s">
        <v>119</v>
      </c>
      <c r="F17" s="432"/>
      <c r="G17" s="36" t="s">
        <v>117</v>
      </c>
      <c r="H17" s="410">
        <v>1872449.96</v>
      </c>
      <c r="I17" s="411"/>
      <c r="J17" s="38"/>
      <c r="K17" s="38"/>
    </row>
    <row r="18" spans="1:11" ht="24.95" customHeight="1">
      <c r="A18" s="60">
        <v>13644000</v>
      </c>
      <c r="B18" s="36" t="s">
        <v>5</v>
      </c>
      <c r="C18" s="435">
        <f>1414095+5758537+2439204</f>
        <v>9611836</v>
      </c>
      <c r="D18" s="436"/>
      <c r="E18" s="431" t="s">
        <v>118</v>
      </c>
      <c r="F18" s="432"/>
      <c r="G18" s="36" t="s">
        <v>418</v>
      </c>
      <c r="H18" s="435">
        <v>2439204</v>
      </c>
      <c r="I18" s="436"/>
      <c r="J18" s="38"/>
      <c r="K18" s="38"/>
    </row>
    <row r="19" spans="1:11" ht="24" customHeight="1" thickBot="1">
      <c r="A19" s="61">
        <f>SUM(A12:A18)</f>
        <v>29871700</v>
      </c>
      <c r="B19" s="69" t="s">
        <v>5</v>
      </c>
      <c r="C19" s="437">
        <f>SUM(C12:C18)</f>
        <v>18588748.359999999</v>
      </c>
      <c r="D19" s="438"/>
      <c r="E19" s="431"/>
      <c r="F19" s="432"/>
      <c r="G19" s="36"/>
      <c r="H19" s="437">
        <f>SUM(H12:H18)</f>
        <v>4718019.6899999995</v>
      </c>
      <c r="I19" s="438"/>
      <c r="J19" s="38"/>
      <c r="K19" s="38"/>
    </row>
    <row r="20" spans="1:11" ht="24" hidden="1" customHeight="1">
      <c r="A20" s="62"/>
      <c r="B20" s="70"/>
      <c r="C20" s="406">
        <v>0</v>
      </c>
      <c r="D20" s="407"/>
      <c r="E20" s="431" t="s">
        <v>77</v>
      </c>
      <c r="F20" s="432"/>
      <c r="G20" s="36" t="s">
        <v>76</v>
      </c>
      <c r="H20" s="410" t="s">
        <v>5</v>
      </c>
      <c r="I20" s="411"/>
      <c r="J20" s="38"/>
      <c r="K20" s="38"/>
    </row>
    <row r="21" spans="1:11" ht="24" customHeight="1" thickTop="1">
      <c r="A21" s="62"/>
      <c r="B21" s="70"/>
      <c r="C21" s="410">
        <f>1075346</f>
        <v>1075346</v>
      </c>
      <c r="D21" s="411"/>
      <c r="E21" s="420" t="s">
        <v>415</v>
      </c>
      <c r="F21" s="421"/>
      <c r="G21" s="36" t="s">
        <v>417</v>
      </c>
      <c r="H21" s="410">
        <v>0</v>
      </c>
      <c r="I21" s="411"/>
      <c r="J21" s="38"/>
      <c r="K21" s="38"/>
    </row>
    <row r="22" spans="1:11" ht="24.95" customHeight="1">
      <c r="A22" s="62"/>
      <c r="B22" s="71"/>
      <c r="C22" s="410">
        <f>2419815+1310400+3563915+1413050</f>
        <v>8707180</v>
      </c>
      <c r="D22" s="411"/>
      <c r="E22" s="431" t="s">
        <v>414</v>
      </c>
      <c r="F22" s="432"/>
      <c r="G22" s="36" t="s">
        <v>416</v>
      </c>
      <c r="H22" s="410">
        <v>1413050</v>
      </c>
      <c r="I22" s="411"/>
      <c r="J22" s="38"/>
      <c r="K22" s="38"/>
    </row>
    <row r="23" spans="1:11" ht="20.25" hidden="1" customHeight="1">
      <c r="A23" s="62"/>
      <c r="B23" s="71"/>
      <c r="C23" s="410"/>
      <c r="D23" s="411"/>
      <c r="E23" s="357" t="s">
        <v>154</v>
      </c>
      <c r="F23" s="358"/>
      <c r="G23" s="36"/>
      <c r="H23" s="410"/>
      <c r="I23" s="411"/>
      <c r="J23" s="38"/>
      <c r="K23" s="38"/>
    </row>
    <row r="24" spans="1:11" ht="20.25">
      <c r="A24" s="62"/>
      <c r="B24" s="71"/>
      <c r="C24" s="410">
        <f>141612.28+13476.96+11264.11+19419.11+79943.72+22108.63</f>
        <v>287824.80999999994</v>
      </c>
      <c r="D24" s="411"/>
      <c r="E24" s="431" t="s">
        <v>64</v>
      </c>
      <c r="F24" s="432"/>
      <c r="G24" s="36" t="s">
        <v>139</v>
      </c>
      <c r="H24" s="410">
        <f>'หมายเหตุ 2'!D12</f>
        <v>22108.629999999997</v>
      </c>
      <c r="I24" s="411"/>
      <c r="J24" s="38"/>
      <c r="K24" s="38"/>
    </row>
    <row r="25" spans="1:11" ht="21">
      <c r="A25" s="62"/>
      <c r="B25" s="71"/>
      <c r="C25" s="410">
        <f>953.19+488.61+83.66+8885.15+10143.51+7967.28</f>
        <v>28521.4</v>
      </c>
      <c r="D25" s="411"/>
      <c r="E25" s="276" t="s">
        <v>376</v>
      </c>
      <c r="F25" s="358"/>
      <c r="G25" s="36" t="s">
        <v>377</v>
      </c>
      <c r="H25" s="410">
        <v>7967.28</v>
      </c>
      <c r="I25" s="411"/>
      <c r="J25" s="38"/>
      <c r="K25" s="38"/>
    </row>
    <row r="26" spans="1:11" ht="24.95" customHeight="1">
      <c r="A26" s="78"/>
      <c r="B26" s="71"/>
      <c r="C26" s="410">
        <v>0</v>
      </c>
      <c r="D26" s="411"/>
      <c r="E26" s="276" t="s">
        <v>379</v>
      </c>
      <c r="F26" s="70"/>
      <c r="G26" s="36" t="s">
        <v>378</v>
      </c>
      <c r="H26" s="410">
        <v>0</v>
      </c>
      <c r="I26" s="411"/>
      <c r="J26" s="38"/>
      <c r="K26" s="38"/>
    </row>
    <row r="27" spans="1:11" ht="20.25" hidden="1" customHeight="1">
      <c r="A27" s="78"/>
      <c r="B27" s="71"/>
      <c r="C27" s="410"/>
      <c r="D27" s="411"/>
      <c r="E27" s="431"/>
      <c r="F27" s="432"/>
      <c r="G27" s="36"/>
      <c r="H27" s="410"/>
      <c r="I27" s="411"/>
      <c r="J27" s="38">
        <f>C27+H27</f>
        <v>0</v>
      </c>
      <c r="K27" s="38" t="e">
        <v>#VALUE!</v>
      </c>
    </row>
    <row r="28" spans="1:11" ht="21">
      <c r="A28" s="78"/>
      <c r="B28" s="71"/>
      <c r="C28" s="410">
        <f>10300+3115+3095+1010+1145+285</f>
        <v>18950</v>
      </c>
      <c r="D28" s="411"/>
      <c r="E28" s="276" t="s">
        <v>380</v>
      </c>
      <c r="F28" s="70"/>
      <c r="G28" s="36" t="s">
        <v>381</v>
      </c>
      <c r="H28" s="410">
        <v>285</v>
      </c>
      <c r="I28" s="411"/>
      <c r="J28" s="38"/>
      <c r="K28" s="38"/>
    </row>
    <row r="29" spans="1:11" ht="21">
      <c r="A29" s="78"/>
      <c r="B29" s="71"/>
      <c r="C29" s="410">
        <v>0.1</v>
      </c>
      <c r="D29" s="411"/>
      <c r="E29" s="277" t="s">
        <v>14</v>
      </c>
      <c r="F29" s="358"/>
      <c r="G29" s="36" t="s">
        <v>382</v>
      </c>
      <c r="H29" s="410">
        <v>0.1</v>
      </c>
      <c r="I29" s="411"/>
      <c r="J29" s="38"/>
      <c r="K29" s="38"/>
    </row>
    <row r="30" spans="1:11" ht="21">
      <c r="A30" s="78"/>
      <c r="B30" s="71"/>
      <c r="C30" s="410">
        <f>124965+1302620</f>
        <v>1427585</v>
      </c>
      <c r="D30" s="411"/>
      <c r="E30" s="278" t="s">
        <v>157</v>
      </c>
      <c r="F30" s="70"/>
      <c r="G30" s="36" t="s">
        <v>163</v>
      </c>
      <c r="H30" s="410">
        <v>0</v>
      </c>
      <c r="I30" s="411"/>
      <c r="J30" s="38"/>
      <c r="K30" s="38"/>
    </row>
    <row r="31" spans="1:11" ht="21">
      <c r="A31" s="78"/>
      <c r="B31" s="71"/>
      <c r="C31" s="410">
        <f>6640+21076</f>
        <v>27716</v>
      </c>
      <c r="D31" s="411"/>
      <c r="E31" s="278" t="s">
        <v>182</v>
      </c>
      <c r="F31" s="363"/>
      <c r="G31" s="36" t="s">
        <v>126</v>
      </c>
      <c r="H31" s="410">
        <f>480+2880+1920+2800+3600+4698+4698</f>
        <v>21076</v>
      </c>
      <c r="I31" s="411"/>
      <c r="J31" s="38"/>
      <c r="K31" s="38"/>
    </row>
    <row r="32" spans="1:11" ht="21">
      <c r="A32" s="78"/>
      <c r="B32" s="71"/>
      <c r="C32" s="410">
        <v>0</v>
      </c>
      <c r="D32" s="411"/>
      <c r="E32" s="278"/>
      <c r="F32" s="358"/>
      <c r="G32" s="36"/>
      <c r="H32" s="410">
        <v>0</v>
      </c>
      <c r="I32" s="411"/>
      <c r="J32" s="38"/>
      <c r="K32" s="38"/>
    </row>
    <row r="33" spans="1:12" ht="20.25">
      <c r="A33" s="78"/>
      <c r="B33" s="71"/>
      <c r="C33" s="354"/>
      <c r="D33" s="355"/>
      <c r="E33" s="357"/>
      <c r="F33" s="358"/>
      <c r="G33" s="36"/>
      <c r="H33" s="354"/>
      <c r="I33" s="355"/>
      <c r="J33" s="38"/>
      <c r="K33" s="38"/>
    </row>
    <row r="34" spans="1:12" ht="20.25">
      <c r="A34" s="78"/>
      <c r="B34" s="71"/>
      <c r="C34" s="354"/>
      <c r="D34" s="355"/>
      <c r="E34" s="357"/>
      <c r="F34" s="358"/>
      <c r="G34" s="36"/>
      <c r="H34" s="354"/>
      <c r="I34" s="355"/>
      <c r="J34" s="38"/>
      <c r="K34" s="38"/>
    </row>
    <row r="35" spans="1:12" ht="20.25">
      <c r="A35" s="78"/>
      <c r="B35" s="71"/>
      <c r="C35" s="410"/>
      <c r="D35" s="411"/>
      <c r="E35" s="357"/>
      <c r="F35" s="358"/>
      <c r="G35" s="36"/>
      <c r="H35" s="410"/>
      <c r="I35" s="411"/>
      <c r="J35" s="38"/>
      <c r="K35" s="38"/>
    </row>
    <row r="36" spans="1:12" ht="20.25">
      <c r="A36" s="78"/>
      <c r="B36" s="71"/>
      <c r="C36" s="354"/>
      <c r="D36" s="355"/>
      <c r="E36" s="357"/>
      <c r="F36" s="358"/>
      <c r="G36" s="36"/>
      <c r="H36" s="354"/>
      <c r="I36" s="355"/>
      <c r="J36" s="38"/>
      <c r="K36" s="38"/>
    </row>
    <row r="37" spans="1:12" ht="24.95" hidden="1" customHeight="1">
      <c r="A37" s="62"/>
      <c r="B37" s="71"/>
      <c r="C37" s="410"/>
      <c r="D37" s="411"/>
      <c r="E37" s="431" t="s">
        <v>73</v>
      </c>
      <c r="F37" s="432"/>
      <c r="G37" s="36" t="s">
        <v>126</v>
      </c>
      <c r="H37" s="410"/>
      <c r="I37" s="411"/>
      <c r="J37" s="38">
        <f t="shared" ref="J37:J42" si="0">C37+H37</f>
        <v>0</v>
      </c>
      <c r="K37" s="38" t="e">
        <v>#VALUE!</v>
      </c>
      <c r="L37" s="32">
        <v>123028</v>
      </c>
    </row>
    <row r="38" spans="1:12" s="56" customFormat="1" ht="24.95" hidden="1" customHeight="1">
      <c r="A38" s="62"/>
      <c r="B38" s="71"/>
      <c r="C38" s="410"/>
      <c r="D38" s="411"/>
      <c r="E38" s="431" t="s">
        <v>74</v>
      </c>
      <c r="F38" s="432"/>
      <c r="G38" s="54">
        <v>110607</v>
      </c>
      <c r="H38" s="410"/>
      <c r="I38" s="411"/>
      <c r="J38" s="55">
        <f t="shared" si="0"/>
        <v>0</v>
      </c>
      <c r="K38" s="55" t="e">
        <v>#VALUE!</v>
      </c>
      <c r="L38" s="56">
        <v>6560</v>
      </c>
    </row>
    <row r="39" spans="1:12" ht="24.95" hidden="1" customHeight="1">
      <c r="A39" s="62"/>
      <c r="B39" s="71"/>
      <c r="C39" s="410"/>
      <c r="D39" s="411"/>
      <c r="E39" s="431" t="s">
        <v>14</v>
      </c>
      <c r="F39" s="432"/>
      <c r="G39" s="36" t="s">
        <v>153</v>
      </c>
      <c r="H39" s="445"/>
      <c r="I39" s="446"/>
      <c r="J39" s="38">
        <f t="shared" si="0"/>
        <v>0</v>
      </c>
      <c r="K39" s="38" t="e">
        <v>#VALUE!</v>
      </c>
      <c r="L39" s="32">
        <f>SUM(L37:L38)</f>
        <v>129588</v>
      </c>
    </row>
    <row r="40" spans="1:12" ht="24.95" hidden="1" customHeight="1">
      <c r="A40" s="62"/>
      <c r="B40" s="71"/>
      <c r="C40" s="410"/>
      <c r="D40" s="411"/>
      <c r="E40" s="357" t="s">
        <v>155</v>
      </c>
      <c r="F40" s="358"/>
      <c r="G40" s="36" t="s">
        <v>132</v>
      </c>
      <c r="H40" s="410"/>
      <c r="I40" s="411"/>
      <c r="J40" s="38">
        <f t="shared" si="0"/>
        <v>0</v>
      </c>
      <c r="K40" s="38"/>
    </row>
    <row r="41" spans="1:12" ht="24" hidden="1" customHeight="1">
      <c r="A41" s="62"/>
      <c r="B41" s="71"/>
      <c r="C41" s="410"/>
      <c r="D41" s="411"/>
      <c r="E41" s="357" t="s">
        <v>159</v>
      </c>
      <c r="F41" s="358"/>
      <c r="G41" s="36"/>
      <c r="H41" s="410"/>
      <c r="I41" s="411"/>
      <c r="J41" s="38">
        <f t="shared" si="0"/>
        <v>0</v>
      </c>
      <c r="K41" s="38"/>
    </row>
    <row r="42" spans="1:12" ht="24" hidden="1" customHeight="1">
      <c r="A42" s="62"/>
      <c r="B42" s="71"/>
      <c r="C42" s="410"/>
      <c r="D42" s="411"/>
      <c r="E42" s="357" t="s">
        <v>160</v>
      </c>
      <c r="F42" s="358"/>
      <c r="G42" s="36"/>
      <c r="H42" s="410"/>
      <c r="I42" s="411"/>
      <c r="J42" s="38">
        <f t="shared" si="0"/>
        <v>0</v>
      </c>
      <c r="K42" s="38"/>
    </row>
    <row r="43" spans="1:12" ht="24" customHeight="1">
      <c r="A43" s="62"/>
      <c r="B43" s="71"/>
      <c r="C43" s="439">
        <f>SUM(C21:C42)</f>
        <v>11573123.310000001</v>
      </c>
      <c r="D43" s="440"/>
      <c r="E43" s="431"/>
      <c r="F43" s="432"/>
      <c r="G43" s="36"/>
      <c r="H43" s="439">
        <f>SUM(H21:H42)</f>
        <v>1464487.01</v>
      </c>
      <c r="I43" s="440"/>
      <c r="J43" s="38"/>
      <c r="K43" s="38"/>
    </row>
    <row r="44" spans="1:12" s="50" customFormat="1" ht="24" customHeight="1">
      <c r="A44" s="63"/>
      <c r="B44" s="73"/>
      <c r="C44" s="441">
        <f>C19+C43</f>
        <v>30161871.670000002</v>
      </c>
      <c r="D44" s="442"/>
      <c r="E44" s="443" t="s">
        <v>72</v>
      </c>
      <c r="F44" s="444"/>
      <c r="G44" s="79"/>
      <c r="H44" s="441">
        <f>H19+H43</f>
        <v>6182506.6999999993</v>
      </c>
      <c r="I44" s="442"/>
      <c r="J44" s="49"/>
      <c r="K44" s="49"/>
    </row>
    <row r="45" spans="1:12" ht="17.100000000000001" customHeight="1">
      <c r="A45" s="447" t="s">
        <v>71</v>
      </c>
      <c r="B45" s="448"/>
      <c r="C45" s="448"/>
      <c r="D45" s="449"/>
      <c r="E45" s="450" t="s">
        <v>70</v>
      </c>
      <c r="F45" s="451"/>
      <c r="G45" s="454" t="s">
        <v>2</v>
      </c>
      <c r="H45" s="456" t="s">
        <v>69</v>
      </c>
      <c r="I45" s="457"/>
    </row>
    <row r="46" spans="1:12" ht="17.100000000000001" customHeight="1">
      <c r="A46" s="458" t="s">
        <v>68</v>
      </c>
      <c r="B46" s="459"/>
      <c r="C46" s="400" t="s">
        <v>67</v>
      </c>
      <c r="D46" s="401"/>
      <c r="E46" s="420"/>
      <c r="F46" s="421"/>
      <c r="G46" s="425"/>
      <c r="H46" s="460" t="s">
        <v>67</v>
      </c>
      <c r="I46" s="461"/>
    </row>
    <row r="47" spans="1:12" ht="17.100000000000001" customHeight="1">
      <c r="A47" s="462" t="s">
        <v>26</v>
      </c>
      <c r="B47" s="463"/>
      <c r="C47" s="464" t="s">
        <v>26</v>
      </c>
      <c r="D47" s="465"/>
      <c r="E47" s="452"/>
      <c r="F47" s="453"/>
      <c r="G47" s="455"/>
      <c r="H47" s="464" t="s">
        <v>26</v>
      </c>
      <c r="I47" s="465"/>
    </row>
    <row r="48" spans="1:12" ht="17.100000000000001" customHeight="1">
      <c r="A48" s="60"/>
      <c r="B48" s="68"/>
      <c r="C48" s="40"/>
      <c r="D48" s="35"/>
      <c r="E48" s="41" t="s">
        <v>66</v>
      </c>
      <c r="F48" s="35"/>
      <c r="G48" s="36"/>
      <c r="H48" s="410"/>
      <c r="I48" s="411"/>
    </row>
    <row r="49" spans="1:13" ht="23.1" customHeight="1">
      <c r="A49" s="60">
        <v>1397280</v>
      </c>
      <c r="B49" s="36" t="s">
        <v>5</v>
      </c>
      <c r="C49" s="410">
        <f>5000+174340+48093+10593+12093+11093</f>
        <v>261212</v>
      </c>
      <c r="D49" s="411"/>
      <c r="E49" s="41"/>
      <c r="F49" s="35" t="s">
        <v>6</v>
      </c>
      <c r="G49" s="36" t="s">
        <v>127</v>
      </c>
      <c r="H49" s="410">
        <v>11093</v>
      </c>
      <c r="I49" s="411"/>
      <c r="J49" s="38"/>
      <c r="K49" s="38"/>
    </row>
    <row r="50" spans="1:13" ht="23.1" customHeight="1">
      <c r="A50" s="60">
        <v>2052720</v>
      </c>
      <c r="B50" s="36" t="s">
        <v>5</v>
      </c>
      <c r="C50" s="410">
        <f>171060+171060+171060+171060+171060+171060</f>
        <v>1026360</v>
      </c>
      <c r="D50" s="411"/>
      <c r="E50" s="43"/>
      <c r="F50" s="35" t="s">
        <v>128</v>
      </c>
      <c r="G50" s="36" t="s">
        <v>130</v>
      </c>
      <c r="H50" s="410">
        <v>171060</v>
      </c>
      <c r="I50" s="411"/>
      <c r="J50" s="38"/>
      <c r="K50" s="38"/>
      <c r="L50" s="410"/>
      <c r="M50" s="411"/>
    </row>
    <row r="51" spans="1:13" ht="23.1" customHeight="1">
      <c r="A51" s="60">
        <v>4778000</v>
      </c>
      <c r="B51" s="36" t="s">
        <v>5</v>
      </c>
      <c r="C51" s="410">
        <f>340600+345100+343837+343000+343000+344151</f>
        <v>2059688</v>
      </c>
      <c r="D51" s="411"/>
      <c r="E51" s="43"/>
      <c r="F51" s="35" t="s">
        <v>129</v>
      </c>
      <c r="G51" s="36" t="s">
        <v>131</v>
      </c>
      <c r="H51" s="410">
        <v>344151</v>
      </c>
      <c r="I51" s="411"/>
      <c r="J51" s="38"/>
      <c r="K51" s="38"/>
    </row>
    <row r="52" spans="1:13" ht="23.1" customHeight="1">
      <c r="A52" s="60">
        <v>1361160</v>
      </c>
      <c r="B52" s="36" t="s">
        <v>5</v>
      </c>
      <c r="C52" s="410">
        <f>89705+134005+111855+111855+107705+116005</f>
        <v>671130</v>
      </c>
      <c r="D52" s="411"/>
      <c r="E52" s="43"/>
      <c r="F52" s="35" t="s">
        <v>181</v>
      </c>
      <c r="G52" s="36" t="s">
        <v>131</v>
      </c>
      <c r="H52" s="410">
        <v>116005</v>
      </c>
      <c r="I52" s="411"/>
      <c r="J52" s="38"/>
      <c r="K52" s="38"/>
    </row>
    <row r="53" spans="1:13" ht="23.1" customHeight="1">
      <c r="A53" s="60">
        <v>510000</v>
      </c>
      <c r="B53" s="36" t="s">
        <v>5</v>
      </c>
      <c r="C53" s="410">
        <f>4950+8550+11670+10420+17000+19230</f>
        <v>71820</v>
      </c>
      <c r="D53" s="411"/>
      <c r="E53" s="43"/>
      <c r="F53" s="35" t="s">
        <v>7</v>
      </c>
      <c r="G53" s="36" t="s">
        <v>132</v>
      </c>
      <c r="H53" s="410">
        <v>19230</v>
      </c>
      <c r="I53" s="411"/>
      <c r="J53" s="38"/>
      <c r="K53" s="38"/>
    </row>
    <row r="54" spans="1:13" ht="23.1" customHeight="1">
      <c r="A54" s="60">
        <v>5025600</v>
      </c>
      <c r="B54" s="36" t="s">
        <v>5</v>
      </c>
      <c r="C54" s="410">
        <f>24787.8+451328.53+130740+205565+337198.63+335923</f>
        <v>1485542.96</v>
      </c>
      <c r="D54" s="411"/>
      <c r="E54" s="43"/>
      <c r="F54" s="35" t="s">
        <v>8</v>
      </c>
      <c r="G54" s="36" t="s">
        <v>133</v>
      </c>
      <c r="H54" s="410">
        <f>315327+2880+1920+2800+3600+4698+4698</f>
        <v>335923</v>
      </c>
      <c r="I54" s="411"/>
      <c r="J54" s="38"/>
      <c r="K54" s="38"/>
    </row>
    <row r="55" spans="1:13" ht="23.1" customHeight="1">
      <c r="A55" s="60">
        <v>3184940</v>
      </c>
      <c r="B55" s="36" t="s">
        <v>5</v>
      </c>
      <c r="C55" s="410">
        <f>16495+87975+228875+105255+102800</f>
        <v>541400</v>
      </c>
      <c r="D55" s="411"/>
      <c r="E55" s="43"/>
      <c r="F55" s="35" t="s">
        <v>9</v>
      </c>
      <c r="G55" s="36" t="s">
        <v>134</v>
      </c>
      <c r="H55" s="410">
        <v>102800</v>
      </c>
      <c r="I55" s="411"/>
      <c r="J55" s="38"/>
      <c r="K55" s="38"/>
      <c r="L55" s="39"/>
    </row>
    <row r="56" spans="1:13" ht="23.1" customHeight="1">
      <c r="A56" s="80">
        <v>1210000</v>
      </c>
      <c r="B56" s="36" t="s">
        <v>5</v>
      </c>
      <c r="C56" s="410">
        <f>71632.93+72564.62+75937.11+69560.81+66653.13+84853.97</f>
        <v>441202.56999999995</v>
      </c>
      <c r="D56" s="411"/>
      <c r="E56" s="43"/>
      <c r="F56" s="35" t="s">
        <v>10</v>
      </c>
      <c r="G56" s="36" t="s">
        <v>135</v>
      </c>
      <c r="H56" s="410">
        <f>85386.97-533</f>
        <v>84853.97</v>
      </c>
      <c r="I56" s="411"/>
      <c r="J56" s="38"/>
      <c r="K56" s="38"/>
    </row>
    <row r="57" spans="1:13" ht="23.1" customHeight="1">
      <c r="A57" s="80">
        <v>603000</v>
      </c>
      <c r="B57" s="36" t="s">
        <v>5</v>
      </c>
      <c r="C57" s="410">
        <f>23650+91200+56000</f>
        <v>170850</v>
      </c>
      <c r="D57" s="411"/>
      <c r="E57" s="43"/>
      <c r="F57" s="35" t="s">
        <v>12</v>
      </c>
      <c r="G57" s="36" t="s">
        <v>136</v>
      </c>
      <c r="H57" s="410">
        <v>56000</v>
      </c>
      <c r="I57" s="411"/>
      <c r="J57" s="38"/>
      <c r="K57" s="38"/>
    </row>
    <row r="58" spans="1:13" ht="23.1" customHeight="1">
      <c r="A58" s="80">
        <v>6839000</v>
      </c>
      <c r="B58" s="36" t="s">
        <v>5</v>
      </c>
      <c r="C58" s="410">
        <f>119700+730200+686000</f>
        <v>1535900</v>
      </c>
      <c r="D58" s="411"/>
      <c r="E58" s="43"/>
      <c r="F58" s="35" t="s">
        <v>56</v>
      </c>
      <c r="G58" s="36" t="s">
        <v>137</v>
      </c>
      <c r="H58" s="410">
        <v>686000</v>
      </c>
      <c r="I58" s="411"/>
      <c r="J58" s="38"/>
      <c r="K58" s="38"/>
    </row>
    <row r="59" spans="1:13" ht="23.1" customHeight="1">
      <c r="A59" s="80">
        <v>25000</v>
      </c>
      <c r="B59" s="36" t="s">
        <v>5</v>
      </c>
      <c r="C59" s="410">
        <v>0</v>
      </c>
      <c r="D59" s="411"/>
      <c r="E59" s="43"/>
      <c r="F59" s="44" t="s">
        <v>65</v>
      </c>
      <c r="G59" s="36" t="s">
        <v>138</v>
      </c>
      <c r="H59" s="410">
        <v>0</v>
      </c>
      <c r="I59" s="411"/>
      <c r="J59" s="38"/>
      <c r="K59" s="38"/>
    </row>
    <row r="60" spans="1:13" ht="23.1" customHeight="1">
      <c r="A60" s="80">
        <v>2885000</v>
      </c>
      <c r="B60" s="36" t="s">
        <v>5</v>
      </c>
      <c r="C60" s="410">
        <f>659000+659000+15000</f>
        <v>1333000</v>
      </c>
      <c r="D60" s="411"/>
      <c r="E60" s="43"/>
      <c r="F60" s="35" t="s">
        <v>11</v>
      </c>
      <c r="G60" s="37">
        <v>561000</v>
      </c>
      <c r="H60" s="410">
        <v>15000</v>
      </c>
      <c r="I60" s="411"/>
      <c r="J60" s="38"/>
      <c r="K60" s="38"/>
      <c r="L60" s="39"/>
    </row>
    <row r="61" spans="1:13" ht="18.95" customHeight="1">
      <c r="A61" s="81">
        <f>SUM(A49:A60)</f>
        <v>29871700</v>
      </c>
      <c r="B61" s="57" t="s">
        <v>5</v>
      </c>
      <c r="C61" s="466">
        <f>SUM(C49:C60)</f>
        <v>9598105.5300000012</v>
      </c>
      <c r="D61" s="467"/>
      <c r="E61" s="43"/>
      <c r="F61" s="44"/>
      <c r="G61" s="36"/>
      <c r="H61" s="466">
        <f>SUM(H49:H60)</f>
        <v>1942115.97</v>
      </c>
      <c r="I61" s="467"/>
      <c r="J61" s="42"/>
      <c r="K61" s="38"/>
    </row>
    <row r="62" spans="1:13" ht="21" customHeight="1">
      <c r="A62" s="62"/>
      <c r="B62" s="72"/>
      <c r="C62" s="410">
        <f>313680+712465+720635+124965+5139620+125355</f>
        <v>7136720</v>
      </c>
      <c r="D62" s="411"/>
      <c r="E62" s="43"/>
      <c r="F62" s="35" t="s">
        <v>75</v>
      </c>
      <c r="G62" s="36" t="s">
        <v>125</v>
      </c>
      <c r="H62" s="410">
        <f>72120+50700+2535</f>
        <v>125355</v>
      </c>
      <c r="I62" s="411"/>
      <c r="J62" s="42"/>
      <c r="K62" s="38"/>
    </row>
    <row r="63" spans="1:13" ht="23.1" customHeight="1">
      <c r="A63" s="62"/>
      <c r="B63" s="72"/>
      <c r="C63" s="410">
        <f>105151.9+145065.85+22721.78+44855.38+41334.84+44688.88</f>
        <v>403818.63</v>
      </c>
      <c r="D63" s="411"/>
      <c r="E63" s="43"/>
      <c r="F63" s="35" t="s">
        <v>64</v>
      </c>
      <c r="G63" s="36" t="s">
        <v>139</v>
      </c>
      <c r="H63" s="410">
        <f>'หมายเหตุ 2'!E12</f>
        <v>44688.88</v>
      </c>
      <c r="I63" s="411"/>
      <c r="J63" s="42"/>
      <c r="K63" s="38"/>
    </row>
    <row r="64" spans="1:13" ht="20.25" hidden="1" customHeight="1">
      <c r="A64" s="78"/>
      <c r="B64" s="72"/>
      <c r="C64" s="410"/>
      <c r="D64" s="411"/>
      <c r="E64" s="43"/>
      <c r="F64" s="44" t="s">
        <v>63</v>
      </c>
      <c r="G64" s="37">
        <v>620</v>
      </c>
      <c r="H64" s="410"/>
      <c r="I64" s="411"/>
      <c r="J64" s="42"/>
      <c r="K64" s="38"/>
    </row>
    <row r="65" spans="1:13" ht="23.1" customHeight="1">
      <c r="A65" s="62"/>
      <c r="B65" s="72"/>
      <c r="C65" s="410">
        <f>742000</f>
        <v>742000</v>
      </c>
      <c r="D65" s="411"/>
      <c r="E65" s="43"/>
      <c r="F65" s="35" t="s">
        <v>383</v>
      </c>
      <c r="G65" s="36" t="s">
        <v>384</v>
      </c>
      <c r="H65" s="410">
        <v>0</v>
      </c>
      <c r="I65" s="411"/>
      <c r="J65" s="42"/>
      <c r="K65" s="38"/>
    </row>
    <row r="66" spans="1:13" ht="23.1" customHeight="1">
      <c r="A66" s="62"/>
      <c r="B66" s="72"/>
      <c r="C66" s="410">
        <f>2400+165130</f>
        <v>167530</v>
      </c>
      <c r="D66" s="411"/>
      <c r="E66" s="43"/>
      <c r="F66" s="35" t="s">
        <v>397</v>
      </c>
      <c r="G66" s="36" t="s">
        <v>385</v>
      </c>
      <c r="H66" s="410">
        <v>0</v>
      </c>
      <c r="I66" s="411"/>
      <c r="J66" s="42"/>
      <c r="K66" s="38"/>
    </row>
    <row r="67" spans="1:13" ht="23.1" customHeight="1">
      <c r="A67" s="62"/>
      <c r="B67" s="72"/>
      <c r="C67" s="410">
        <f>6640+15796+12160</f>
        <v>34596</v>
      </c>
      <c r="D67" s="411"/>
      <c r="E67" s="43"/>
      <c r="F67" s="43" t="s">
        <v>182</v>
      </c>
      <c r="G67" s="36" t="s">
        <v>126</v>
      </c>
      <c r="H67" s="410">
        <v>12160</v>
      </c>
      <c r="I67" s="411"/>
      <c r="J67" s="42"/>
      <c r="K67" s="38"/>
    </row>
    <row r="68" spans="1:13" ht="23.1" customHeight="1">
      <c r="A68" s="62"/>
      <c r="B68" s="72"/>
      <c r="C68" s="410">
        <f>585400+718765+122820+95200+667300</f>
        <v>2189485</v>
      </c>
      <c r="D68" s="411"/>
      <c r="E68" s="44"/>
      <c r="F68" s="44" t="s">
        <v>157</v>
      </c>
      <c r="G68" s="36" t="s">
        <v>163</v>
      </c>
      <c r="H68" s="410">
        <v>667300</v>
      </c>
      <c r="I68" s="411"/>
      <c r="J68" s="42"/>
      <c r="K68" s="38"/>
    </row>
    <row r="69" spans="1:13" ht="23.1" customHeight="1">
      <c r="A69" s="62"/>
      <c r="B69" s="72"/>
      <c r="C69" s="410">
        <f>10000</f>
        <v>10000</v>
      </c>
      <c r="D69" s="411"/>
      <c r="E69" s="44"/>
      <c r="F69" s="43" t="s">
        <v>14</v>
      </c>
      <c r="G69" s="36" t="s">
        <v>153</v>
      </c>
      <c r="H69" s="410">
        <v>0</v>
      </c>
      <c r="I69" s="411"/>
      <c r="J69" s="42"/>
      <c r="K69" s="38"/>
    </row>
    <row r="70" spans="1:13" ht="23.1" customHeight="1">
      <c r="A70" s="62"/>
      <c r="B70" s="72"/>
      <c r="C70" s="410"/>
      <c r="D70" s="411"/>
      <c r="E70" s="44"/>
      <c r="F70" s="358"/>
      <c r="G70" s="36"/>
      <c r="H70" s="410">
        <v>0</v>
      </c>
      <c r="I70" s="411"/>
      <c r="J70" s="42"/>
      <c r="K70" s="38"/>
    </row>
    <row r="71" spans="1:13" ht="23.1" customHeight="1">
      <c r="A71" s="62"/>
      <c r="B71" s="72"/>
      <c r="C71" s="410"/>
      <c r="D71" s="411"/>
      <c r="E71" s="44"/>
      <c r="F71" s="358"/>
      <c r="G71" s="36"/>
      <c r="H71" s="410">
        <v>0</v>
      </c>
      <c r="I71" s="411"/>
      <c r="J71" s="42"/>
      <c r="K71" s="42"/>
    </row>
    <row r="72" spans="1:13" ht="20.25">
      <c r="A72" s="62"/>
      <c r="B72" s="72"/>
      <c r="C72" s="410">
        <v>0</v>
      </c>
      <c r="D72" s="411"/>
      <c r="E72" s="44"/>
      <c r="F72" s="44"/>
      <c r="G72" s="36"/>
      <c r="H72" s="410"/>
      <c r="I72" s="411"/>
      <c r="J72" s="42"/>
      <c r="K72" s="42"/>
    </row>
    <row r="73" spans="1:13" ht="20.25">
      <c r="A73" s="62"/>
      <c r="B73" s="72"/>
      <c r="C73" s="435">
        <v>0</v>
      </c>
      <c r="D73" s="436"/>
      <c r="E73" s="44"/>
      <c r="F73" s="44"/>
      <c r="G73" s="36"/>
      <c r="H73" s="435"/>
      <c r="I73" s="436"/>
      <c r="J73" s="42"/>
      <c r="K73" s="42"/>
    </row>
    <row r="74" spans="1:13" ht="21" customHeight="1">
      <c r="A74" s="62"/>
      <c r="B74" s="71"/>
      <c r="C74" s="466">
        <f>SUM(C62:D73)</f>
        <v>10684149.629999999</v>
      </c>
      <c r="D74" s="467"/>
      <c r="E74" s="44"/>
      <c r="F74" s="43"/>
      <c r="G74" s="36"/>
      <c r="H74" s="466">
        <f>SUM(H62:I73)</f>
        <v>849503.88</v>
      </c>
      <c r="I74" s="467"/>
      <c r="J74" s="42"/>
      <c r="K74" s="42"/>
    </row>
    <row r="75" spans="1:13" ht="17.100000000000001" customHeight="1" thickBot="1">
      <c r="A75" s="62"/>
      <c r="B75" s="71"/>
      <c r="C75" s="437">
        <f>C61+C74</f>
        <v>20282255.16</v>
      </c>
      <c r="D75" s="438"/>
      <c r="E75" s="469" t="s">
        <v>62</v>
      </c>
      <c r="F75" s="469"/>
      <c r="G75" s="36"/>
      <c r="H75" s="437">
        <f>+H61+H74</f>
        <v>2791619.85</v>
      </c>
      <c r="I75" s="438"/>
      <c r="J75" s="42"/>
      <c r="K75" s="42"/>
    </row>
    <row r="76" spans="1:13" ht="17.100000000000001" customHeight="1" thickTop="1">
      <c r="A76" s="62"/>
      <c r="B76" s="71"/>
      <c r="C76" s="410">
        <f>C44-C75</f>
        <v>9879616.5100000016</v>
      </c>
      <c r="D76" s="411"/>
      <c r="E76" s="469" t="s">
        <v>61</v>
      </c>
      <c r="F76" s="469"/>
      <c r="G76" s="36"/>
      <c r="H76" s="410">
        <f>H44-H75</f>
        <v>3390886.8499999992</v>
      </c>
      <c r="I76" s="411"/>
      <c r="J76" s="42"/>
      <c r="K76" s="42"/>
    </row>
    <row r="77" spans="1:13" ht="17.100000000000001" customHeight="1">
      <c r="A77" s="64"/>
      <c r="B77" s="74"/>
      <c r="C77" s="410"/>
      <c r="D77" s="411"/>
      <c r="E77" s="469" t="s">
        <v>60</v>
      </c>
      <c r="F77" s="469"/>
      <c r="G77" s="36"/>
      <c r="H77" s="400"/>
      <c r="I77" s="401"/>
      <c r="J77" s="42" t="s">
        <v>111</v>
      </c>
      <c r="K77" s="39">
        <v>38964042.030000001</v>
      </c>
    </row>
    <row r="78" spans="1:13" ht="17.100000000000001" customHeight="1">
      <c r="A78" s="64"/>
      <c r="B78" s="74"/>
      <c r="C78" s="410"/>
      <c r="D78" s="411"/>
      <c r="E78" s="469" t="s">
        <v>59</v>
      </c>
      <c r="F78" s="469"/>
      <c r="G78" s="36"/>
      <c r="H78" s="410"/>
      <c r="I78" s="411"/>
      <c r="J78" s="42" t="s">
        <v>15</v>
      </c>
      <c r="K78" s="39">
        <v>764</v>
      </c>
      <c r="L78" s="38">
        <f>SUM(K77:K78)</f>
        <v>38964806.030000001</v>
      </c>
    </row>
    <row r="79" spans="1:13" ht="17.100000000000001" customHeight="1" thickBot="1">
      <c r="A79" s="65"/>
      <c r="B79" s="75"/>
      <c r="C79" s="437">
        <f>C10+C44-C75</f>
        <v>38964806.030000001</v>
      </c>
      <c r="D79" s="438"/>
      <c r="E79" s="464" t="s">
        <v>58</v>
      </c>
      <c r="F79" s="465"/>
      <c r="G79" s="45"/>
      <c r="H79" s="437">
        <f>H10+H44-H75</f>
        <v>38964806.029999994</v>
      </c>
      <c r="I79" s="438"/>
      <c r="J79" s="90" t="s">
        <v>167</v>
      </c>
      <c r="K79" s="91">
        <f>C79-H79</f>
        <v>0</v>
      </c>
      <c r="L79" s="39"/>
      <c r="M79" s="39">
        <f>L78-H79</f>
        <v>0</v>
      </c>
    </row>
    <row r="80" spans="1:13" ht="10.5" customHeight="1" thickTop="1">
      <c r="A80" s="65"/>
      <c r="B80" s="75"/>
      <c r="C80" s="46"/>
      <c r="D80" s="46"/>
      <c r="E80" s="356"/>
      <c r="F80" s="356"/>
      <c r="G80" s="47"/>
      <c r="H80" s="46"/>
      <c r="I80" s="46"/>
      <c r="J80" s="42"/>
      <c r="K80" s="42"/>
    </row>
    <row r="81" spans="1:8" s="59" customFormat="1" ht="15.95" customHeight="1">
      <c r="A81" s="85"/>
      <c r="C81" s="58"/>
      <c r="E81" s="353"/>
      <c r="F81" s="353"/>
    </row>
    <row r="82" spans="1:8" s="59" customFormat="1" ht="21.75" customHeight="1">
      <c r="A82" s="58" t="s">
        <v>168</v>
      </c>
      <c r="D82" s="58" t="s">
        <v>429</v>
      </c>
      <c r="F82" s="353"/>
      <c r="G82" s="353" t="s">
        <v>366</v>
      </c>
      <c r="H82" s="86"/>
    </row>
    <row r="83" spans="1:8" s="59" customFormat="1" ht="18" customHeight="1">
      <c r="A83" s="468" t="s">
        <v>392</v>
      </c>
      <c r="B83" s="468"/>
      <c r="C83" s="58" t="s">
        <v>158</v>
      </c>
      <c r="E83" s="84"/>
      <c r="F83" s="84"/>
      <c r="G83" s="353" t="s">
        <v>57</v>
      </c>
    </row>
    <row r="84" spans="1:8" s="59" customFormat="1" ht="6.75" customHeight="1">
      <c r="C84" s="58"/>
      <c r="E84" s="353"/>
      <c r="F84" s="353"/>
      <c r="G84" s="353"/>
    </row>
    <row r="85" spans="1:8" ht="7.5" customHeight="1"/>
  </sheetData>
  <mergeCells count="176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1:D31"/>
    <mergeCell ref="H31:I31"/>
    <mergeCell ref="C32:D32"/>
    <mergeCell ref="H32:I32"/>
    <mergeCell ref="C35:D35"/>
    <mergeCell ref="H35:I35"/>
    <mergeCell ref="C28:D28"/>
    <mergeCell ref="H28:I28"/>
    <mergeCell ref="C29:D29"/>
    <mergeCell ref="H29:I29"/>
    <mergeCell ref="C30:D30"/>
    <mergeCell ref="H30:I30"/>
    <mergeCell ref="C26:D26"/>
    <mergeCell ref="H26:I26"/>
    <mergeCell ref="C27:D27"/>
    <mergeCell ref="E27:F27"/>
    <mergeCell ref="H27:I27"/>
    <mergeCell ref="C23:D23"/>
    <mergeCell ref="H23:I23"/>
    <mergeCell ref="C24:D24"/>
    <mergeCell ref="E24:F24"/>
    <mergeCell ref="H24:I24"/>
    <mergeCell ref="C25:D25"/>
    <mergeCell ref="H25:I25"/>
    <mergeCell ref="C20:D20"/>
    <mergeCell ref="E20:F20"/>
    <mergeCell ref="H20:I20"/>
    <mergeCell ref="C22:D22"/>
    <mergeCell ref="E22:F22"/>
    <mergeCell ref="H22:I22"/>
    <mergeCell ref="E21:F21"/>
    <mergeCell ref="H21:I21"/>
    <mergeCell ref="C21:D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opLeftCell="A22" zoomScale="120" zoomScaleNormal="120" workbookViewId="0">
      <selection activeCell="G29" sqref="G29:H29"/>
    </sheetView>
  </sheetViews>
  <sheetFormatPr defaultRowHeight="14.25"/>
  <cols>
    <col min="1" max="1" width="9.140625" style="367"/>
    <col min="2" max="2" width="10.7109375" style="367" customWidth="1"/>
    <col min="3" max="4" width="9.140625" style="367"/>
    <col min="5" max="5" width="17.140625" style="367" customWidth="1"/>
    <col min="6" max="6" width="9.140625" style="367"/>
    <col min="7" max="7" width="10.28515625" style="367" customWidth="1"/>
    <col min="8" max="8" width="7.28515625" style="367" customWidth="1"/>
    <col min="9" max="9" width="9.140625" style="367"/>
    <col min="10" max="10" width="13" style="367" customWidth="1"/>
    <col min="11" max="11" width="9.140625" style="367"/>
    <col min="12" max="12" width="14.5703125" style="367" bestFit="1" customWidth="1"/>
    <col min="13" max="16384" width="9.140625" style="367"/>
  </cols>
  <sheetData>
    <row r="1" spans="1:12" ht="21">
      <c r="A1" s="488" t="s">
        <v>0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2" ht="21">
      <c r="A2" s="488" t="s">
        <v>386</v>
      </c>
      <c r="B2" s="488"/>
      <c r="C2" s="488"/>
      <c r="D2" s="488"/>
      <c r="E2" s="488"/>
      <c r="F2" s="488"/>
      <c r="G2" s="488"/>
      <c r="H2" s="488"/>
      <c r="I2" s="488"/>
      <c r="J2" s="488"/>
    </row>
    <row r="3" spans="1:12" ht="21">
      <c r="A3" s="489" t="s">
        <v>443</v>
      </c>
      <c r="B3" s="489"/>
      <c r="C3" s="489"/>
      <c r="D3" s="489"/>
      <c r="E3" s="489"/>
      <c r="F3" s="489"/>
      <c r="G3" s="489"/>
      <c r="H3" s="489"/>
      <c r="I3" s="489"/>
      <c r="J3" s="489"/>
    </row>
    <row r="4" spans="1:12" ht="21">
      <c r="A4" s="490" t="s">
        <v>1</v>
      </c>
      <c r="B4" s="491"/>
      <c r="C4" s="491"/>
      <c r="D4" s="491"/>
      <c r="E4" s="492"/>
      <c r="F4" s="368" t="s">
        <v>2</v>
      </c>
      <c r="G4" s="493" t="s">
        <v>3</v>
      </c>
      <c r="H4" s="494"/>
      <c r="I4" s="493" t="s">
        <v>4</v>
      </c>
      <c r="J4" s="494"/>
    </row>
    <row r="5" spans="1:12" ht="21">
      <c r="A5" s="473" t="s">
        <v>15</v>
      </c>
      <c r="B5" s="474"/>
      <c r="C5" s="474"/>
      <c r="D5" s="474"/>
      <c r="E5" s="475"/>
      <c r="F5" s="369" t="s">
        <v>142</v>
      </c>
      <c r="G5" s="481">
        <v>764</v>
      </c>
      <c r="H5" s="481"/>
      <c r="I5" s="482"/>
      <c r="J5" s="482"/>
    </row>
    <row r="6" spans="1:12" ht="21">
      <c r="A6" s="483" t="s">
        <v>169</v>
      </c>
      <c r="B6" s="484"/>
      <c r="C6" s="484"/>
      <c r="D6" s="484"/>
      <c r="E6" s="485"/>
      <c r="F6" s="369" t="s">
        <v>143</v>
      </c>
      <c r="G6" s="486">
        <v>0</v>
      </c>
      <c r="H6" s="487"/>
      <c r="I6" s="486"/>
      <c r="J6" s="487"/>
    </row>
    <row r="7" spans="1:12" ht="21">
      <c r="A7" s="483" t="s">
        <v>170</v>
      </c>
      <c r="B7" s="484"/>
      <c r="C7" s="484"/>
      <c r="D7" s="484"/>
      <c r="E7" s="485"/>
      <c r="F7" s="369"/>
      <c r="G7" s="471">
        <v>1391777.21</v>
      </c>
      <c r="H7" s="472"/>
      <c r="I7" s="471"/>
      <c r="J7" s="472"/>
    </row>
    <row r="8" spans="1:12" ht="21">
      <c r="A8" s="483" t="s">
        <v>171</v>
      </c>
      <c r="B8" s="484"/>
      <c r="C8" s="484"/>
      <c r="D8" s="484"/>
      <c r="E8" s="485"/>
      <c r="F8" s="369"/>
      <c r="G8" s="471">
        <v>8904482.6199999992</v>
      </c>
      <c r="H8" s="472"/>
      <c r="I8" s="471"/>
      <c r="J8" s="472"/>
      <c r="K8" s="367" t="s">
        <v>265</v>
      </c>
    </row>
    <row r="9" spans="1:12" ht="21">
      <c r="A9" s="473" t="s">
        <v>172</v>
      </c>
      <c r="B9" s="474"/>
      <c r="C9" s="474"/>
      <c r="D9" s="474"/>
      <c r="E9" s="475"/>
      <c r="F9" s="369" t="s">
        <v>144</v>
      </c>
      <c r="G9" s="471">
        <v>8499872.4399999995</v>
      </c>
      <c r="H9" s="472"/>
      <c r="I9" s="471"/>
      <c r="J9" s="472"/>
    </row>
    <row r="10" spans="1:12" ht="21">
      <c r="A10" s="473" t="s">
        <v>173</v>
      </c>
      <c r="B10" s="474"/>
      <c r="C10" s="474"/>
      <c r="D10" s="474"/>
      <c r="E10" s="475"/>
      <c r="F10" s="369"/>
      <c r="G10" s="471">
        <v>775996.12</v>
      </c>
      <c r="H10" s="472"/>
      <c r="I10" s="471"/>
      <c r="J10" s="472"/>
    </row>
    <row r="11" spans="1:12" ht="21">
      <c r="A11" s="392" t="s">
        <v>444</v>
      </c>
      <c r="B11" s="393"/>
      <c r="C11" s="393"/>
      <c r="D11" s="393"/>
      <c r="E11" s="394"/>
      <c r="F11" s="369"/>
      <c r="G11" s="476">
        <v>10000000</v>
      </c>
      <c r="H11" s="477"/>
      <c r="I11" s="390"/>
      <c r="J11" s="391"/>
    </row>
    <row r="12" spans="1:12" ht="21">
      <c r="A12" s="370" t="s">
        <v>178</v>
      </c>
      <c r="B12" s="371"/>
      <c r="C12" s="371"/>
      <c r="D12" s="371"/>
      <c r="E12" s="372"/>
      <c r="F12" s="369"/>
      <c r="G12" s="476">
        <v>9391913.6400000006</v>
      </c>
      <c r="H12" s="477"/>
      <c r="I12" s="373"/>
      <c r="J12" s="374"/>
      <c r="L12" s="388">
        <f>SUM(G6:H12)</f>
        <v>38964042.030000001</v>
      </c>
    </row>
    <row r="13" spans="1:12" ht="21">
      <c r="A13" s="473" t="s">
        <v>389</v>
      </c>
      <c r="B13" s="474"/>
      <c r="C13" s="474"/>
      <c r="D13" s="474"/>
      <c r="E13" s="475"/>
      <c r="F13" s="369" t="s">
        <v>145</v>
      </c>
      <c r="G13" s="476">
        <f>60640.58-7967.28</f>
        <v>52673.3</v>
      </c>
      <c r="H13" s="477"/>
      <c r="I13" s="476"/>
      <c r="J13" s="477"/>
    </row>
    <row r="14" spans="1:12" ht="21">
      <c r="A14" s="478" t="s">
        <v>370</v>
      </c>
      <c r="B14" s="479"/>
      <c r="C14" s="479"/>
      <c r="D14" s="479"/>
      <c r="E14" s="480"/>
      <c r="F14" s="369" t="s">
        <v>146</v>
      </c>
      <c r="G14" s="471">
        <f>113070-285</f>
        <v>112785</v>
      </c>
      <c r="H14" s="472"/>
      <c r="I14" s="471"/>
      <c r="J14" s="472"/>
    </row>
    <row r="15" spans="1:12" ht="21">
      <c r="A15" s="470" t="s">
        <v>13</v>
      </c>
      <c r="B15" s="470"/>
      <c r="C15" s="470"/>
      <c r="D15" s="470"/>
      <c r="E15" s="470"/>
      <c r="F15" s="369" t="s">
        <v>126</v>
      </c>
      <c r="G15" s="471">
        <f>15796-21076+12160</f>
        <v>6880</v>
      </c>
      <c r="H15" s="472"/>
      <c r="I15" s="471"/>
      <c r="J15" s="472"/>
    </row>
    <row r="16" spans="1:12" ht="21">
      <c r="A16" s="470" t="s">
        <v>183</v>
      </c>
      <c r="B16" s="470"/>
      <c r="C16" s="470"/>
      <c r="D16" s="470"/>
      <c r="E16" s="470"/>
      <c r="F16" s="369" t="s">
        <v>163</v>
      </c>
      <c r="G16" s="476">
        <f>95200+667300</f>
        <v>762500</v>
      </c>
      <c r="H16" s="477"/>
      <c r="I16" s="373"/>
      <c r="J16" s="374"/>
    </row>
    <row r="17" spans="1:10" ht="21">
      <c r="A17" s="470" t="s">
        <v>152</v>
      </c>
      <c r="B17" s="470"/>
      <c r="C17" s="470"/>
      <c r="D17" s="470"/>
      <c r="E17" s="470"/>
      <c r="F17" s="369"/>
      <c r="G17" s="471">
        <f>113000-16000-21000</f>
        <v>76000</v>
      </c>
      <c r="H17" s="472"/>
      <c r="I17" s="373"/>
      <c r="J17" s="374"/>
    </row>
    <row r="18" spans="1:10" ht="21">
      <c r="A18" s="473" t="s">
        <v>6</v>
      </c>
      <c r="B18" s="474"/>
      <c r="C18" s="474"/>
      <c r="D18" s="474"/>
      <c r="E18" s="475"/>
      <c r="F18" s="369" t="s">
        <v>185</v>
      </c>
      <c r="G18" s="476">
        <v>261212</v>
      </c>
      <c r="H18" s="477"/>
      <c r="I18" s="373"/>
      <c r="J18" s="374"/>
    </row>
    <row r="19" spans="1:10" ht="21">
      <c r="A19" s="473" t="s">
        <v>128</v>
      </c>
      <c r="B19" s="474"/>
      <c r="C19" s="474"/>
      <c r="D19" s="474"/>
      <c r="E19" s="475"/>
      <c r="F19" s="369" t="s">
        <v>130</v>
      </c>
      <c r="G19" s="476">
        <v>1026360</v>
      </c>
      <c r="H19" s="477"/>
      <c r="I19" s="373"/>
      <c r="J19" s="374"/>
    </row>
    <row r="20" spans="1:10" ht="21">
      <c r="A20" s="473" t="s">
        <v>129</v>
      </c>
      <c r="B20" s="474"/>
      <c r="C20" s="474"/>
      <c r="D20" s="474"/>
      <c r="E20" s="475"/>
      <c r="F20" s="369" t="s">
        <v>131</v>
      </c>
      <c r="G20" s="476">
        <v>2059688</v>
      </c>
      <c r="H20" s="477"/>
      <c r="I20" s="373"/>
      <c r="J20" s="374"/>
    </row>
    <row r="21" spans="1:10" ht="21">
      <c r="A21" s="473" t="s">
        <v>188</v>
      </c>
      <c r="B21" s="474"/>
      <c r="C21" s="474"/>
      <c r="D21" s="474"/>
      <c r="E21" s="475"/>
      <c r="F21" s="369" t="s">
        <v>131</v>
      </c>
      <c r="G21" s="476">
        <v>671130</v>
      </c>
      <c r="H21" s="477"/>
      <c r="I21" s="373"/>
      <c r="J21" s="374"/>
    </row>
    <row r="22" spans="1:10" ht="21">
      <c r="A22" s="473" t="s">
        <v>7</v>
      </c>
      <c r="B22" s="474"/>
      <c r="C22" s="474"/>
      <c r="D22" s="474"/>
      <c r="E22" s="475"/>
      <c r="F22" s="369" t="s">
        <v>132</v>
      </c>
      <c r="G22" s="476">
        <v>71820</v>
      </c>
      <c r="H22" s="477"/>
      <c r="I22" s="373"/>
      <c r="J22" s="374"/>
    </row>
    <row r="23" spans="1:10" ht="21">
      <c r="A23" s="473" t="s">
        <v>8</v>
      </c>
      <c r="B23" s="474"/>
      <c r="C23" s="474"/>
      <c r="D23" s="474"/>
      <c r="E23" s="475"/>
      <c r="F23" s="369" t="s">
        <v>133</v>
      </c>
      <c r="G23" s="476">
        <v>1485542.96</v>
      </c>
      <c r="H23" s="477"/>
      <c r="I23" s="373"/>
      <c r="J23" s="374"/>
    </row>
    <row r="24" spans="1:10" ht="21">
      <c r="A24" s="473" t="s">
        <v>9</v>
      </c>
      <c r="B24" s="474"/>
      <c r="C24" s="474"/>
      <c r="D24" s="474"/>
      <c r="E24" s="475"/>
      <c r="F24" s="369" t="s">
        <v>134</v>
      </c>
      <c r="G24" s="476">
        <v>541400</v>
      </c>
      <c r="H24" s="477"/>
      <c r="I24" s="373"/>
      <c r="J24" s="374"/>
    </row>
    <row r="25" spans="1:10" ht="21">
      <c r="A25" s="473" t="s">
        <v>10</v>
      </c>
      <c r="B25" s="474"/>
      <c r="C25" s="474"/>
      <c r="D25" s="474"/>
      <c r="E25" s="475"/>
      <c r="F25" s="369" t="s">
        <v>135</v>
      </c>
      <c r="G25" s="476">
        <v>441202.57</v>
      </c>
      <c r="H25" s="477"/>
      <c r="I25" s="373"/>
      <c r="J25" s="374"/>
    </row>
    <row r="26" spans="1:10" ht="21">
      <c r="A26" s="473" t="s">
        <v>12</v>
      </c>
      <c r="B26" s="474"/>
      <c r="C26" s="474"/>
      <c r="D26" s="474"/>
      <c r="E26" s="475"/>
      <c r="F26" s="369" t="s">
        <v>136</v>
      </c>
      <c r="G26" s="476">
        <v>170850</v>
      </c>
      <c r="H26" s="477"/>
      <c r="I26" s="373"/>
      <c r="J26" s="374"/>
    </row>
    <row r="27" spans="1:10" ht="21">
      <c r="A27" s="473" t="s">
        <v>56</v>
      </c>
      <c r="B27" s="474"/>
      <c r="C27" s="474"/>
      <c r="D27" s="474"/>
      <c r="E27" s="475"/>
      <c r="F27" s="369" t="s">
        <v>186</v>
      </c>
      <c r="G27" s="476">
        <v>1535900</v>
      </c>
      <c r="H27" s="477"/>
      <c r="I27" s="373"/>
      <c r="J27" s="374"/>
    </row>
    <row r="28" spans="1:10" ht="21">
      <c r="A28" s="478" t="s">
        <v>184</v>
      </c>
      <c r="B28" s="479"/>
      <c r="C28" s="479"/>
      <c r="D28" s="479"/>
      <c r="E28" s="480"/>
      <c r="F28" s="369" t="s">
        <v>138</v>
      </c>
      <c r="G28" s="476">
        <v>0</v>
      </c>
      <c r="H28" s="477"/>
      <c r="I28" s="373"/>
      <c r="J28" s="374"/>
    </row>
    <row r="29" spans="1:10" ht="21">
      <c r="A29" s="473" t="s">
        <v>11</v>
      </c>
      <c r="B29" s="474"/>
      <c r="C29" s="474"/>
      <c r="D29" s="474"/>
      <c r="E29" s="475"/>
      <c r="F29" s="369" t="s">
        <v>187</v>
      </c>
      <c r="G29" s="476">
        <v>1333000</v>
      </c>
      <c r="H29" s="477"/>
      <c r="I29" s="373"/>
      <c r="J29" s="374"/>
    </row>
    <row r="30" spans="1:10" ht="21">
      <c r="A30" s="473" t="s">
        <v>75</v>
      </c>
      <c r="B30" s="474"/>
      <c r="C30" s="474"/>
      <c r="D30" s="474"/>
      <c r="E30" s="475"/>
      <c r="F30" s="369"/>
      <c r="G30" s="476">
        <f>7010765+125355</f>
        <v>7136120</v>
      </c>
      <c r="H30" s="477"/>
      <c r="I30" s="373"/>
      <c r="J30" s="374"/>
    </row>
    <row r="31" spans="1:10" ht="21">
      <c r="A31" s="473" t="s">
        <v>14</v>
      </c>
      <c r="B31" s="474"/>
      <c r="C31" s="474"/>
      <c r="D31" s="474"/>
      <c r="E31" s="475"/>
      <c r="F31" s="369" t="s">
        <v>141</v>
      </c>
      <c r="G31" s="471"/>
      <c r="H31" s="472"/>
      <c r="I31" s="471">
        <f>16802835.12-10000+0.1</f>
        <v>16792835.220000003</v>
      </c>
      <c r="J31" s="472"/>
    </row>
    <row r="32" spans="1:10" ht="21">
      <c r="A32" s="473" t="s">
        <v>16</v>
      </c>
      <c r="B32" s="474"/>
      <c r="C32" s="474"/>
      <c r="D32" s="474"/>
      <c r="E32" s="475"/>
      <c r="F32" s="369" t="s">
        <v>147</v>
      </c>
      <c r="G32" s="471"/>
      <c r="H32" s="472"/>
      <c r="I32" s="471">
        <v>10299783.08</v>
      </c>
      <c r="J32" s="472"/>
    </row>
    <row r="33" spans="1:12" ht="21">
      <c r="A33" s="376" t="s">
        <v>397</v>
      </c>
      <c r="B33" s="377"/>
      <c r="C33" s="377"/>
      <c r="D33" s="377"/>
      <c r="E33" s="378"/>
      <c r="F33" s="369" t="s">
        <v>140</v>
      </c>
      <c r="G33" s="476"/>
      <c r="H33" s="477"/>
      <c r="I33" s="476">
        <f>370100-2400-165130</f>
        <v>202570</v>
      </c>
      <c r="J33" s="477"/>
    </row>
    <row r="34" spans="1:12" ht="21">
      <c r="A34" s="473" t="s">
        <v>369</v>
      </c>
      <c r="B34" s="474"/>
      <c r="C34" s="474"/>
      <c r="D34" s="474"/>
      <c r="E34" s="475"/>
      <c r="F34" s="369"/>
      <c r="G34" s="471"/>
      <c r="H34" s="472"/>
      <c r="I34" s="471">
        <f>850066.26+1929.86</f>
        <v>851996.12</v>
      </c>
      <c r="J34" s="472"/>
    </row>
    <row r="35" spans="1:12" ht="21">
      <c r="A35" s="473" t="s">
        <v>277</v>
      </c>
      <c r="B35" s="474"/>
      <c r="C35" s="474"/>
      <c r="D35" s="474"/>
      <c r="E35" s="475"/>
      <c r="F35" s="369" t="s">
        <v>189</v>
      </c>
      <c r="G35" s="373"/>
      <c r="H35" s="374"/>
      <c r="I35" s="476">
        <f>22240204.67+4718019.69+1413050</f>
        <v>28371274.360000003</v>
      </c>
      <c r="J35" s="477"/>
    </row>
    <row r="36" spans="1:12" ht="21">
      <c r="A36" s="473" t="s">
        <v>17</v>
      </c>
      <c r="B36" s="474"/>
      <c r="C36" s="474" t="s">
        <v>18</v>
      </c>
      <c r="D36" s="474"/>
      <c r="E36" s="475"/>
      <c r="F36" s="369" t="s">
        <v>148</v>
      </c>
      <c r="G36" s="471"/>
      <c r="H36" s="472"/>
      <c r="I36" s="471">
        <v>11035.67</v>
      </c>
      <c r="J36" s="472"/>
    </row>
    <row r="37" spans="1:12" ht="21">
      <c r="A37" s="473"/>
      <c r="B37" s="474"/>
      <c r="C37" s="474" t="s">
        <v>19</v>
      </c>
      <c r="D37" s="474"/>
      <c r="E37" s="475"/>
      <c r="F37" s="369" t="s">
        <v>149</v>
      </c>
      <c r="G37" s="471"/>
      <c r="H37" s="472"/>
      <c r="I37" s="471">
        <v>162953</v>
      </c>
      <c r="J37" s="472"/>
    </row>
    <row r="38" spans="1:12" ht="21">
      <c r="A38" s="473"/>
      <c r="B38" s="474"/>
      <c r="C38" s="474" t="s">
        <v>20</v>
      </c>
      <c r="D38" s="474"/>
      <c r="E38" s="475"/>
      <c r="F38" s="369" t="s">
        <v>151</v>
      </c>
      <c r="G38" s="471"/>
      <c r="H38" s="472"/>
      <c r="I38" s="497">
        <v>2406.5500000000002</v>
      </c>
      <c r="J38" s="498"/>
    </row>
    <row r="39" spans="1:12" ht="21">
      <c r="A39" s="376"/>
      <c r="B39" s="377"/>
      <c r="C39" s="474" t="s">
        <v>21</v>
      </c>
      <c r="D39" s="474"/>
      <c r="E39" s="475"/>
      <c r="F39" s="369" t="s">
        <v>150</v>
      </c>
      <c r="G39" s="471"/>
      <c r="H39" s="472"/>
      <c r="I39" s="471">
        <v>2887.86</v>
      </c>
      <c r="J39" s="472"/>
    </row>
    <row r="40" spans="1:12" ht="21">
      <c r="A40" s="376"/>
      <c r="B40" s="377"/>
      <c r="C40" s="377" t="s">
        <v>399</v>
      </c>
      <c r="D40" s="377"/>
      <c r="E40" s="377"/>
      <c r="F40" s="369"/>
      <c r="G40" s="373"/>
      <c r="H40" s="374"/>
      <c r="I40" s="476">
        <v>8128</v>
      </c>
      <c r="J40" s="477"/>
    </row>
    <row r="41" spans="1:12" ht="21">
      <c r="A41" s="376"/>
      <c r="B41" s="377"/>
      <c r="C41" s="377" t="s">
        <v>420</v>
      </c>
      <c r="D41" s="377"/>
      <c r="E41" s="377"/>
      <c r="F41" s="369"/>
      <c r="G41" s="379"/>
      <c r="H41" s="380"/>
      <c r="I41" s="476">
        <v>0</v>
      </c>
      <c r="J41" s="477"/>
    </row>
    <row r="42" spans="1:12" ht="21">
      <c r="A42" s="376"/>
      <c r="B42" s="377"/>
      <c r="C42" s="377" t="s">
        <v>431</v>
      </c>
      <c r="D42" s="377"/>
      <c r="E42" s="377"/>
      <c r="F42" s="369"/>
      <c r="G42" s="476"/>
      <c r="H42" s="477"/>
      <c r="I42" s="476">
        <v>4000</v>
      </c>
      <c r="J42" s="477"/>
    </row>
    <row r="43" spans="1:12" ht="21.75" thickBot="1">
      <c r="A43" s="381"/>
      <c r="B43" s="381"/>
      <c r="C43" s="381"/>
      <c r="D43" s="381"/>
      <c r="E43" s="381"/>
      <c r="F43" s="382"/>
      <c r="G43" s="495">
        <f>SUM(G5:H39)</f>
        <v>56709869.859999999</v>
      </c>
      <c r="H43" s="496"/>
      <c r="I43" s="495">
        <f>SUM(I31:J42)</f>
        <v>56709869.860000007</v>
      </c>
      <c r="J43" s="496"/>
      <c r="L43" s="375">
        <f>G43-I43</f>
        <v>0</v>
      </c>
    </row>
    <row r="44" spans="1:12" ht="29.25" customHeight="1" thickTop="1">
      <c r="A44" s="383"/>
      <c r="B44" s="383"/>
      <c r="C44" s="383"/>
      <c r="D44" s="383"/>
      <c r="E44" s="383"/>
      <c r="F44" s="383"/>
      <c r="G44" s="383"/>
      <c r="H44" s="383"/>
      <c r="I44" s="383"/>
      <c r="J44" s="383"/>
    </row>
    <row r="45" spans="1:12" ht="21">
      <c r="A45" s="384" t="s">
        <v>164</v>
      </c>
      <c r="B45" s="383"/>
      <c r="C45" s="383"/>
      <c r="D45" s="384" t="s">
        <v>432</v>
      </c>
      <c r="E45" s="383"/>
      <c r="F45" s="385"/>
      <c r="G45" s="383"/>
      <c r="H45" s="386"/>
      <c r="I45" s="385" t="s">
        <v>366</v>
      </c>
      <c r="J45" s="383"/>
    </row>
    <row r="46" spans="1:12" ht="21">
      <c r="A46" s="499" t="s">
        <v>374</v>
      </c>
      <c r="B46" s="499"/>
      <c r="C46" s="384"/>
      <c r="D46" s="384" t="s">
        <v>424</v>
      </c>
      <c r="E46" s="387"/>
      <c r="F46" s="387"/>
      <c r="G46" s="383"/>
      <c r="H46" s="383"/>
      <c r="I46" s="385" t="s">
        <v>57</v>
      </c>
      <c r="J46" s="383"/>
    </row>
    <row r="47" spans="1:12" ht="15" customHeight="1">
      <c r="I47" s="385"/>
    </row>
  </sheetData>
  <mergeCells count="100">
    <mergeCell ref="G25:H25"/>
    <mergeCell ref="G23:H23"/>
    <mergeCell ref="G24:H24"/>
    <mergeCell ref="I42:J42"/>
    <mergeCell ref="G42:H42"/>
    <mergeCell ref="I41:J41"/>
    <mergeCell ref="I40:J40"/>
    <mergeCell ref="I39:J39"/>
    <mergeCell ref="I33:J33"/>
    <mergeCell ref="I32:J32"/>
    <mergeCell ref="I31:J31"/>
    <mergeCell ref="G33:H33"/>
    <mergeCell ref="G26:H26"/>
    <mergeCell ref="A18:E18"/>
    <mergeCell ref="A19:E19"/>
    <mergeCell ref="A20:E20"/>
    <mergeCell ref="G20:H20"/>
    <mergeCell ref="A22:E22"/>
    <mergeCell ref="G21:H21"/>
    <mergeCell ref="G22:H22"/>
    <mergeCell ref="G18:H18"/>
    <mergeCell ref="G19:H19"/>
    <mergeCell ref="A23:E23"/>
    <mergeCell ref="A24:E24"/>
    <mergeCell ref="A25:E25"/>
    <mergeCell ref="A21:E21"/>
    <mergeCell ref="A26:E26"/>
    <mergeCell ref="A46:B46"/>
    <mergeCell ref="C39:E39"/>
    <mergeCell ref="G39:H39"/>
    <mergeCell ref="C38:E38"/>
    <mergeCell ref="G38:H38"/>
    <mergeCell ref="G43:H43"/>
    <mergeCell ref="A32:E32"/>
    <mergeCell ref="G32:H32"/>
    <mergeCell ref="A27:E27"/>
    <mergeCell ref="A28:E28"/>
    <mergeCell ref="A29:E29"/>
    <mergeCell ref="A30:E30"/>
    <mergeCell ref="A31:E31"/>
    <mergeCell ref="G31:H31"/>
    <mergeCell ref="G30:H30"/>
    <mergeCell ref="G27:H27"/>
    <mergeCell ref="G28:H28"/>
    <mergeCell ref="G29:H29"/>
    <mergeCell ref="I43:J43"/>
    <mergeCell ref="A34:E34"/>
    <mergeCell ref="G34:H34"/>
    <mergeCell ref="I34:J34"/>
    <mergeCell ref="A36:B36"/>
    <mergeCell ref="C36:E36"/>
    <mergeCell ref="G36:H36"/>
    <mergeCell ref="I36:J36"/>
    <mergeCell ref="A35:E35"/>
    <mergeCell ref="I35:J35"/>
    <mergeCell ref="A37:B37"/>
    <mergeCell ref="C37:E37"/>
    <mergeCell ref="G37:H37"/>
    <mergeCell ref="I37:J37"/>
    <mergeCell ref="A38:B38"/>
    <mergeCell ref="I38:J38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5:E15"/>
    <mergeCell ref="G15:H15"/>
    <mergeCell ref="I15:J15"/>
    <mergeCell ref="I13:J13"/>
    <mergeCell ref="I14:J14"/>
    <mergeCell ref="A5:E5"/>
    <mergeCell ref="G5:H5"/>
    <mergeCell ref="I5:J5"/>
    <mergeCell ref="A6:E6"/>
    <mergeCell ref="G6:H6"/>
    <mergeCell ref="I6:J6"/>
    <mergeCell ref="A17:E17"/>
    <mergeCell ref="G17:H17"/>
    <mergeCell ref="A16:E16"/>
    <mergeCell ref="A10:E10"/>
    <mergeCell ref="G10:H10"/>
    <mergeCell ref="G16:H16"/>
    <mergeCell ref="G12:H12"/>
    <mergeCell ref="A13:E13"/>
    <mergeCell ref="G13:H13"/>
    <mergeCell ref="A14:E14"/>
    <mergeCell ref="G14:H14"/>
    <mergeCell ref="G11:H11"/>
  </mergeCells>
  <pageMargins left="0.6692913385826772" right="0.45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19" workbookViewId="0">
      <selection activeCell="B32" sqref="B32"/>
    </sheetView>
  </sheetViews>
  <sheetFormatPr defaultColWidth="9.140625" defaultRowHeight="23.25"/>
  <cols>
    <col min="1" max="1" width="28.140625" style="89" customWidth="1"/>
    <col min="2" max="2" width="8.85546875" style="89" bestFit="1" customWidth="1"/>
    <col min="3" max="3" width="13.7109375" style="89" customWidth="1"/>
    <col min="4" max="4" width="12.7109375" style="89" customWidth="1"/>
    <col min="5" max="6" width="12.7109375" style="89" bestFit="1" customWidth="1"/>
    <col min="7" max="16384" width="9.140625" style="89"/>
  </cols>
  <sheetData>
    <row r="1" spans="1:6">
      <c r="A1" s="500" t="s">
        <v>165</v>
      </c>
      <c r="B1" s="500"/>
      <c r="C1" s="500"/>
      <c r="D1" s="500"/>
      <c r="E1" s="500"/>
      <c r="F1" s="500"/>
    </row>
    <row r="2" spans="1:6">
      <c r="A2" s="500" t="s">
        <v>436</v>
      </c>
      <c r="B2" s="500"/>
      <c r="C2" s="500"/>
      <c r="D2" s="500"/>
      <c r="E2" s="500"/>
      <c r="F2" s="500"/>
    </row>
    <row r="3" spans="1:6">
      <c r="A3" s="98" t="s">
        <v>46</v>
      </c>
      <c r="B3" s="98" t="s">
        <v>2</v>
      </c>
      <c r="C3" s="98" t="s">
        <v>55</v>
      </c>
      <c r="D3" s="98" t="s">
        <v>47</v>
      </c>
      <c r="E3" s="98" t="s">
        <v>48</v>
      </c>
      <c r="F3" s="98" t="s">
        <v>49</v>
      </c>
    </row>
    <row r="4" spans="1:6">
      <c r="A4" s="92" t="s">
        <v>50</v>
      </c>
      <c r="B4" s="93">
        <v>230102</v>
      </c>
      <c r="C4" s="94">
        <v>38988.879999999997</v>
      </c>
      <c r="D4" s="94">
        <v>11035.67</v>
      </c>
      <c r="E4" s="94">
        <v>38988.879999999997</v>
      </c>
      <c r="F4" s="94">
        <f t="shared" ref="F4:F11" si="0">C4+D4-E4</f>
        <v>11035.669999999998</v>
      </c>
    </row>
    <row r="5" spans="1:6">
      <c r="A5" s="92" t="s">
        <v>51</v>
      </c>
      <c r="B5" s="93">
        <v>230108</v>
      </c>
      <c r="C5" s="94">
        <v>162953</v>
      </c>
      <c r="D5" s="94">
        <v>0</v>
      </c>
      <c r="E5" s="94">
        <v>0</v>
      </c>
      <c r="F5" s="94">
        <f t="shared" si="0"/>
        <v>162953</v>
      </c>
    </row>
    <row r="6" spans="1:6">
      <c r="A6" s="92" t="s">
        <v>52</v>
      </c>
      <c r="B6" s="93">
        <v>230105</v>
      </c>
      <c r="C6" s="94">
        <v>1619.75</v>
      </c>
      <c r="D6" s="94">
        <v>786.8</v>
      </c>
      <c r="E6" s="94">
        <v>0</v>
      </c>
      <c r="F6" s="94">
        <f t="shared" si="0"/>
        <v>2406.5500000000002</v>
      </c>
    </row>
    <row r="7" spans="1:6">
      <c r="A7" s="92" t="s">
        <v>166</v>
      </c>
      <c r="B7" s="93">
        <v>230106</v>
      </c>
      <c r="C7" s="94">
        <v>1943.7</v>
      </c>
      <c r="D7" s="94">
        <v>944.16</v>
      </c>
      <c r="E7" s="94">
        <v>0</v>
      </c>
      <c r="F7" s="94">
        <f t="shared" si="0"/>
        <v>2887.86</v>
      </c>
    </row>
    <row r="8" spans="1:6">
      <c r="A8" s="92" t="s">
        <v>53</v>
      </c>
      <c r="B8" s="93" t="s">
        <v>5</v>
      </c>
      <c r="C8" s="94">
        <v>851996.12</v>
      </c>
      <c r="D8" s="94">
        <v>0</v>
      </c>
      <c r="E8" s="94">
        <v>0</v>
      </c>
      <c r="F8" s="94">
        <f t="shared" si="0"/>
        <v>851996.12</v>
      </c>
    </row>
    <row r="9" spans="1:6">
      <c r="A9" s="92" t="s">
        <v>395</v>
      </c>
      <c r="B9" s="360">
        <v>0</v>
      </c>
      <c r="C9" s="94">
        <v>4486</v>
      </c>
      <c r="D9" s="94">
        <v>8128</v>
      </c>
      <c r="E9" s="94">
        <v>4486</v>
      </c>
      <c r="F9" s="94">
        <f t="shared" si="0"/>
        <v>8128</v>
      </c>
    </row>
    <row r="10" spans="1:6">
      <c r="A10" s="92" t="s">
        <v>419</v>
      </c>
      <c r="B10" s="92"/>
      <c r="C10" s="94">
        <v>0</v>
      </c>
      <c r="D10" s="94">
        <v>1214</v>
      </c>
      <c r="E10" s="94">
        <v>1214</v>
      </c>
      <c r="F10" s="94">
        <f t="shared" si="0"/>
        <v>0</v>
      </c>
    </row>
    <row r="11" spans="1:6">
      <c r="A11" s="92" t="s">
        <v>430</v>
      </c>
      <c r="B11" s="92"/>
      <c r="C11" s="94">
        <v>4000</v>
      </c>
      <c r="D11" s="94">
        <v>0</v>
      </c>
      <c r="E11" s="94">
        <v>0</v>
      </c>
      <c r="F11" s="94">
        <f t="shared" si="0"/>
        <v>4000</v>
      </c>
    </row>
    <row r="12" spans="1:6" ht="24" thickBot="1">
      <c r="A12" s="95" t="s">
        <v>54</v>
      </c>
      <c r="B12" s="96"/>
      <c r="C12" s="97">
        <f>SUM(C4:C11)</f>
        <v>1065987.45</v>
      </c>
      <c r="D12" s="97">
        <f>SUM(D4:D11)</f>
        <v>22108.629999999997</v>
      </c>
      <c r="E12" s="97">
        <f t="shared" ref="E12:F12" si="1">SUM(E4:E11)</f>
        <v>44688.88</v>
      </c>
      <c r="F12" s="97">
        <f t="shared" si="1"/>
        <v>1043407.2</v>
      </c>
    </row>
    <row r="13" spans="1:6" ht="24" thickTop="1"/>
    <row r="15" spans="1:6">
      <c r="A15" s="500" t="s">
        <v>75</v>
      </c>
      <c r="B15" s="500"/>
      <c r="C15" s="500"/>
      <c r="D15" s="500"/>
      <c r="E15" s="500"/>
      <c r="F15" s="500"/>
    </row>
    <row r="16" spans="1:6">
      <c r="A16" s="500" t="str">
        <f>A2</f>
        <v>ประจำเดือนมีนาคม  2558</v>
      </c>
      <c r="B16" s="500"/>
      <c r="C16" s="500"/>
      <c r="D16" s="500"/>
      <c r="E16" s="500"/>
      <c r="F16" s="500"/>
    </row>
    <row r="17" spans="1:6">
      <c r="A17" s="98" t="s">
        <v>46</v>
      </c>
      <c r="B17" s="98" t="s">
        <v>2</v>
      </c>
      <c r="C17" s="98" t="s">
        <v>55</v>
      </c>
      <c r="D17" s="98" t="s">
        <v>371</v>
      </c>
      <c r="E17" s="98" t="s">
        <v>66</v>
      </c>
      <c r="F17" s="98" t="s">
        <v>49</v>
      </c>
    </row>
    <row r="18" spans="1:6">
      <c r="A18" s="359" t="s">
        <v>273</v>
      </c>
      <c r="B18" s="93"/>
      <c r="C18" s="94">
        <v>0</v>
      </c>
      <c r="D18" s="94">
        <f>1664700+1109800+1109800</f>
        <v>3884300</v>
      </c>
      <c r="E18" s="94">
        <f>530000+528200-2400+1591400</f>
        <v>2647200</v>
      </c>
      <c r="F18" s="94">
        <f t="shared" ref="F18:F27" si="2">C18+D18-E18</f>
        <v>1237100</v>
      </c>
    </row>
    <row r="19" spans="1:6">
      <c r="A19" s="359" t="s">
        <v>274</v>
      </c>
      <c r="B19" s="93"/>
      <c r="C19" s="94">
        <v>0</v>
      </c>
      <c r="D19" s="94">
        <f>177000+200600+188800</f>
        <v>566400</v>
      </c>
      <c r="E19" s="94">
        <f>57500+195500-3200+115000</f>
        <v>364800</v>
      </c>
      <c r="F19" s="94">
        <f t="shared" si="2"/>
        <v>201600</v>
      </c>
    </row>
    <row r="20" spans="1:6">
      <c r="A20" s="359" t="s">
        <v>275</v>
      </c>
      <c r="B20" s="93"/>
      <c r="C20" s="94">
        <v>0</v>
      </c>
      <c r="D20" s="94">
        <f>163500+54500+109000</f>
        <v>327000</v>
      </c>
      <c r="E20" s="94">
        <f>50700+50700+50700+50700+50700</f>
        <v>253500</v>
      </c>
      <c r="F20" s="94">
        <f t="shared" si="2"/>
        <v>73500</v>
      </c>
    </row>
    <row r="21" spans="1:6">
      <c r="A21" s="359" t="s">
        <v>364</v>
      </c>
      <c r="B21" s="93"/>
      <c r="C21" s="94">
        <v>0</v>
      </c>
      <c r="D21" s="94">
        <f>215190+215190</f>
        <v>430380</v>
      </c>
      <c r="E21" s="94">
        <f>71730+71730+71730+72120+73680+72120</f>
        <v>433110</v>
      </c>
      <c r="F21" s="94">
        <f t="shared" si="2"/>
        <v>-2730</v>
      </c>
    </row>
    <row r="22" spans="1:6">
      <c r="A22" s="359" t="s">
        <v>365</v>
      </c>
      <c r="B22" s="92"/>
      <c r="C22" s="94">
        <v>0</v>
      </c>
      <c r="D22" s="94">
        <f>8175+2725+5450</f>
        <v>16350</v>
      </c>
      <c r="E22" s="94">
        <f>2535+2535+2535+2535+2535</f>
        <v>12675</v>
      </c>
      <c r="F22" s="94">
        <f t="shared" si="2"/>
        <v>3675</v>
      </c>
    </row>
    <row r="23" spans="1:6">
      <c r="A23" s="359" t="s">
        <v>396</v>
      </c>
      <c r="B23" s="92"/>
      <c r="C23" s="94">
        <v>0</v>
      </c>
      <c r="D23" s="94">
        <v>191250</v>
      </c>
      <c r="E23" s="94">
        <v>191250</v>
      </c>
      <c r="F23" s="94">
        <f t="shared" si="2"/>
        <v>0</v>
      </c>
    </row>
    <row r="24" spans="1:6">
      <c r="A24" s="397" t="s">
        <v>437</v>
      </c>
      <c r="B24" s="92"/>
      <c r="C24" s="94"/>
      <c r="D24" s="94">
        <v>1605000</v>
      </c>
      <c r="E24" s="94">
        <v>1600185</v>
      </c>
      <c r="F24" s="94">
        <f t="shared" si="2"/>
        <v>4815</v>
      </c>
    </row>
    <row r="25" spans="1:6">
      <c r="A25" s="359" t="s">
        <v>438</v>
      </c>
      <c r="B25" s="92"/>
      <c r="C25" s="94"/>
      <c r="D25" s="94">
        <v>1554000</v>
      </c>
      <c r="E25" s="94">
        <v>1554000</v>
      </c>
      <c r="F25" s="94">
        <f t="shared" si="2"/>
        <v>0</v>
      </c>
    </row>
    <row r="26" spans="1:6">
      <c r="A26" s="359" t="s">
        <v>439</v>
      </c>
      <c r="B26" s="92"/>
      <c r="C26" s="94"/>
      <c r="D26" s="94">
        <v>80000</v>
      </c>
      <c r="E26" s="94">
        <v>80000</v>
      </c>
      <c r="F26" s="94">
        <f t="shared" si="2"/>
        <v>0</v>
      </c>
    </row>
    <row r="27" spans="1:6">
      <c r="A27" s="359" t="s">
        <v>440</v>
      </c>
      <c r="B27" s="92"/>
      <c r="C27" s="94"/>
      <c r="D27" s="94">
        <v>52500</v>
      </c>
      <c r="E27" s="94">
        <v>0</v>
      </c>
      <c r="F27" s="94">
        <f t="shared" si="2"/>
        <v>52500</v>
      </c>
    </row>
    <row r="28" spans="1:6">
      <c r="A28" s="359"/>
      <c r="B28" s="92"/>
      <c r="C28" s="94"/>
      <c r="D28" s="94"/>
      <c r="E28" s="94"/>
      <c r="F28" s="94"/>
    </row>
    <row r="29" spans="1:6" ht="24" thickBot="1">
      <c r="A29" s="95" t="s">
        <v>54</v>
      </c>
      <c r="B29" s="96"/>
      <c r="C29" s="97">
        <v>0</v>
      </c>
      <c r="D29" s="97">
        <f>SUM(D18:D28)</f>
        <v>8707180</v>
      </c>
      <c r="E29" s="97">
        <f>SUM(E18:E28)</f>
        <v>7136720</v>
      </c>
      <c r="F29" s="97">
        <f>SUM(F18:F28)</f>
        <v>1570460</v>
      </c>
    </row>
    <row r="30" spans="1:6" ht="24" thickTop="1"/>
  </sheetData>
  <mergeCells count="4">
    <mergeCell ref="A1:F1"/>
    <mergeCell ref="A2:F2"/>
    <mergeCell ref="A15:F15"/>
    <mergeCell ref="A16:F16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B13" sqref="B13"/>
    </sheetView>
  </sheetViews>
  <sheetFormatPr defaultColWidth="9.140625" defaultRowHeight="21"/>
  <cols>
    <col min="1" max="1" width="9.140625" style="297"/>
    <col min="2" max="2" width="32" style="297" customWidth="1"/>
    <col min="3" max="3" width="17.7109375" style="297" customWidth="1"/>
    <col min="4" max="4" width="12.85546875" style="297" bestFit="1" customWidth="1"/>
    <col min="5" max="5" width="7.7109375" style="297" customWidth="1"/>
    <col min="6" max="6" width="13.140625" style="297" customWidth="1"/>
    <col min="7" max="7" width="9.140625" style="297"/>
    <col min="8" max="8" width="11" style="297" bestFit="1" customWidth="1"/>
    <col min="9" max="16384" width="9.140625" style="297"/>
  </cols>
  <sheetData>
    <row r="1" spans="1:8" ht="21.75">
      <c r="A1" s="501" t="s">
        <v>282</v>
      </c>
      <c r="B1" s="501"/>
      <c r="C1" s="501"/>
      <c r="D1" s="501"/>
      <c r="E1" s="501"/>
      <c r="F1" s="501"/>
    </row>
    <row r="2" spans="1:8" ht="21.75">
      <c r="A2" s="501" t="s">
        <v>234</v>
      </c>
      <c r="B2" s="501"/>
      <c r="C2" s="501"/>
      <c r="D2" s="501"/>
      <c r="E2" s="501"/>
      <c r="F2" s="501"/>
    </row>
    <row r="3" spans="1:8" ht="21.75">
      <c r="A3" s="501" t="s">
        <v>441</v>
      </c>
      <c r="B3" s="501"/>
      <c r="C3" s="501"/>
      <c r="D3" s="501"/>
      <c r="E3" s="501"/>
      <c r="F3" s="501"/>
    </row>
    <row r="4" spans="1:8" ht="21.75">
      <c r="A4" s="298" t="s">
        <v>235</v>
      </c>
      <c r="B4" s="298"/>
      <c r="C4" s="299"/>
      <c r="D4" s="299"/>
      <c r="E4" s="299"/>
      <c r="F4" s="300"/>
    </row>
    <row r="5" spans="1:8">
      <c r="A5" s="502" t="s">
        <v>70</v>
      </c>
      <c r="B5" s="503"/>
      <c r="C5" s="506" t="s">
        <v>68</v>
      </c>
      <c r="D5" s="506" t="s">
        <v>236</v>
      </c>
      <c r="E5" s="301" t="s">
        <v>237</v>
      </c>
      <c r="F5" s="301" t="s">
        <v>238</v>
      </c>
    </row>
    <row r="6" spans="1:8">
      <c r="A6" s="504"/>
      <c r="B6" s="505"/>
      <c r="C6" s="507"/>
      <c r="D6" s="507"/>
      <c r="E6" s="302" t="s">
        <v>239</v>
      </c>
      <c r="F6" s="302" t="s">
        <v>240</v>
      </c>
    </row>
    <row r="7" spans="1:8" s="307" customFormat="1">
      <c r="A7" s="303" t="s">
        <v>241</v>
      </c>
      <c r="B7" s="304"/>
      <c r="C7" s="305">
        <f>C8+C12+C23+C26+C29+C33</f>
        <v>1336000</v>
      </c>
      <c r="D7" s="305">
        <f>D8+D12+D23+D26+D29+D33</f>
        <v>885638.58</v>
      </c>
      <c r="E7" s="306" t="s">
        <v>390</v>
      </c>
      <c r="F7" s="305">
        <f>C7-D7</f>
        <v>450361.42000000004</v>
      </c>
    </row>
    <row r="8" spans="1:8">
      <c r="A8" s="308" t="s">
        <v>124</v>
      </c>
      <c r="B8" s="309"/>
      <c r="C8" s="310">
        <f>SUM(C9:C11)</f>
        <v>241300</v>
      </c>
      <c r="D8" s="310">
        <f>D9+D10+D11</f>
        <v>128588.69</v>
      </c>
      <c r="E8" s="311" t="s">
        <v>5</v>
      </c>
      <c r="F8" s="312">
        <f t="shared" ref="F8:F53" si="0">C8-D8</f>
        <v>112711.31</v>
      </c>
      <c r="H8" s="313"/>
    </row>
    <row r="9" spans="1:8">
      <c r="A9" s="314"/>
      <c r="B9" s="315" t="s">
        <v>242</v>
      </c>
      <c r="C9" s="316">
        <v>42000</v>
      </c>
      <c r="D9" s="316">
        <f>25177+11974</f>
        <v>37151</v>
      </c>
      <c r="E9" s="317" t="s">
        <v>5</v>
      </c>
      <c r="F9" s="318">
        <f t="shared" si="0"/>
        <v>4849</v>
      </c>
    </row>
    <row r="10" spans="1:8">
      <c r="A10" s="314"/>
      <c r="B10" s="315" t="s">
        <v>243</v>
      </c>
      <c r="C10" s="316">
        <v>194000</v>
      </c>
      <c r="D10" s="316">
        <f>2706.88+4963.21+341.61-1280+23415.58+27074.65+27415.76</f>
        <v>84637.69</v>
      </c>
      <c r="E10" s="317" t="s">
        <v>5</v>
      </c>
      <c r="F10" s="318">
        <f t="shared" si="0"/>
        <v>109362.31</v>
      </c>
    </row>
    <row r="11" spans="1:8">
      <c r="A11" s="314"/>
      <c r="B11" s="315" t="s">
        <v>244</v>
      </c>
      <c r="C11" s="316">
        <v>5300</v>
      </c>
      <c r="D11" s="316">
        <f>6600+200</f>
        <v>6800</v>
      </c>
      <c r="E11" s="319" t="s">
        <v>390</v>
      </c>
      <c r="F11" s="318">
        <f t="shared" si="0"/>
        <v>-1500</v>
      </c>
    </row>
    <row r="12" spans="1:8">
      <c r="A12" s="308" t="s">
        <v>123</v>
      </c>
      <c r="B12" s="315"/>
      <c r="C12" s="310">
        <f>SUM(C13:C22)</f>
        <v>52200</v>
      </c>
      <c r="D12" s="310">
        <f>SUM(D13:D22)</f>
        <v>2490</v>
      </c>
      <c r="E12" s="311" t="s">
        <v>5</v>
      </c>
      <c r="F12" s="312">
        <f t="shared" si="0"/>
        <v>49710</v>
      </c>
    </row>
    <row r="13" spans="1:8">
      <c r="A13" s="314"/>
      <c r="B13" s="315" t="s">
        <v>245</v>
      </c>
      <c r="C13" s="316">
        <v>0</v>
      </c>
      <c r="D13" s="320">
        <v>0</v>
      </c>
      <c r="E13" s="317" t="s">
        <v>5</v>
      </c>
      <c r="F13" s="318">
        <f t="shared" si="0"/>
        <v>0</v>
      </c>
    </row>
    <row r="14" spans="1:8">
      <c r="A14" s="314"/>
      <c r="B14" s="315" t="s">
        <v>246</v>
      </c>
      <c r="C14" s="316">
        <v>0</v>
      </c>
      <c r="D14" s="320">
        <f>50+100+100+50+120+110</f>
        <v>530</v>
      </c>
      <c r="E14" s="317" t="s">
        <v>390</v>
      </c>
      <c r="F14" s="318">
        <f t="shared" si="0"/>
        <v>-530</v>
      </c>
    </row>
    <row r="15" spans="1:8">
      <c r="A15" s="314"/>
      <c r="B15" s="315" t="s">
        <v>247</v>
      </c>
      <c r="C15" s="316">
        <v>0</v>
      </c>
      <c r="D15" s="320">
        <v>10</v>
      </c>
      <c r="E15" s="317" t="s">
        <v>390</v>
      </c>
      <c r="F15" s="318">
        <f t="shared" si="0"/>
        <v>-10</v>
      </c>
    </row>
    <row r="16" spans="1:8">
      <c r="A16" s="314"/>
      <c r="B16" s="315" t="s">
        <v>421</v>
      </c>
      <c r="C16" s="316">
        <v>0</v>
      </c>
      <c r="D16" s="320">
        <v>510</v>
      </c>
      <c r="E16" s="317" t="s">
        <v>390</v>
      </c>
      <c r="F16" s="318">
        <f t="shared" si="0"/>
        <v>-510</v>
      </c>
    </row>
    <row r="17" spans="1:6">
      <c r="A17" s="314"/>
      <c r="B17" s="315" t="s">
        <v>248</v>
      </c>
      <c r="C17" s="316">
        <v>2200</v>
      </c>
      <c r="D17" s="320">
        <f>800+400</f>
        <v>1200</v>
      </c>
      <c r="E17" s="317" t="s">
        <v>5</v>
      </c>
      <c r="F17" s="318">
        <f t="shared" si="0"/>
        <v>1000</v>
      </c>
    </row>
    <row r="18" spans="1:6">
      <c r="A18" s="314"/>
      <c r="B18" s="321" t="s">
        <v>249</v>
      </c>
      <c r="C18" s="316">
        <v>0</v>
      </c>
      <c r="D18" s="320">
        <v>0</v>
      </c>
      <c r="E18" s="317" t="s">
        <v>5</v>
      </c>
      <c r="F18" s="318">
        <f t="shared" si="0"/>
        <v>0</v>
      </c>
    </row>
    <row r="19" spans="1:6">
      <c r="A19" s="314"/>
      <c r="B19" s="321" t="s">
        <v>250</v>
      </c>
      <c r="C19" s="316">
        <v>50000</v>
      </c>
      <c r="D19" s="320">
        <v>0</v>
      </c>
      <c r="E19" s="317" t="s">
        <v>5</v>
      </c>
      <c r="F19" s="318">
        <f t="shared" si="0"/>
        <v>50000</v>
      </c>
    </row>
    <row r="20" spans="1:6">
      <c r="A20" s="314"/>
      <c r="B20" s="321" t="s">
        <v>251</v>
      </c>
      <c r="C20" s="316">
        <v>0</v>
      </c>
      <c r="D20" s="320">
        <v>0</v>
      </c>
      <c r="E20" s="317" t="s">
        <v>5</v>
      </c>
      <c r="F20" s="318">
        <f t="shared" si="0"/>
        <v>0</v>
      </c>
    </row>
    <row r="21" spans="1:6">
      <c r="A21" s="314"/>
      <c r="B21" s="321" t="s">
        <v>252</v>
      </c>
      <c r="C21" s="316">
        <v>0</v>
      </c>
      <c r="D21" s="320">
        <v>0</v>
      </c>
      <c r="E21" s="317" t="s">
        <v>5</v>
      </c>
      <c r="F21" s="318">
        <f t="shared" si="0"/>
        <v>0</v>
      </c>
    </row>
    <row r="22" spans="1:6">
      <c r="A22" s="314"/>
      <c r="B22" s="321" t="s">
        <v>253</v>
      </c>
      <c r="C22" s="316">
        <v>0</v>
      </c>
      <c r="D22" s="320">
        <f>92+148</f>
        <v>240</v>
      </c>
      <c r="E22" s="317" t="s">
        <v>390</v>
      </c>
      <c r="F22" s="318">
        <f t="shared" si="0"/>
        <v>-240</v>
      </c>
    </row>
    <row r="23" spans="1:6">
      <c r="A23" s="322" t="s">
        <v>122</v>
      </c>
      <c r="B23" s="323"/>
      <c r="C23" s="310">
        <f>SUM(C24:C24)</f>
        <v>226500</v>
      </c>
      <c r="D23" s="310">
        <f>SUM(D24:D24)</f>
        <v>342764.88999999996</v>
      </c>
      <c r="E23" s="311" t="s">
        <v>390</v>
      </c>
      <c r="F23" s="312">
        <f t="shared" si="0"/>
        <v>-116264.88999999996</v>
      </c>
    </row>
    <row r="24" spans="1:6">
      <c r="A24" s="314"/>
      <c r="B24" s="321" t="s">
        <v>254</v>
      </c>
      <c r="C24" s="316">
        <v>226500</v>
      </c>
      <c r="D24" s="320">
        <f>15617.09+20714.83+306432.97</f>
        <v>342764.88999999996</v>
      </c>
      <c r="E24" s="317" t="s">
        <v>390</v>
      </c>
      <c r="F24" s="318">
        <f t="shared" si="0"/>
        <v>-116264.88999999996</v>
      </c>
    </row>
    <row r="25" spans="1:6">
      <c r="A25" s="314"/>
      <c r="B25" s="321"/>
      <c r="C25" s="316"/>
      <c r="D25" s="320"/>
      <c r="E25" s="324"/>
      <c r="F25" s="318">
        <f t="shared" si="0"/>
        <v>0</v>
      </c>
    </row>
    <row r="26" spans="1:6">
      <c r="A26" s="308" t="s">
        <v>121</v>
      </c>
      <c r="B26" s="323"/>
      <c r="C26" s="310">
        <f>SUM(C27)</f>
        <v>716000</v>
      </c>
      <c r="D26" s="325">
        <f>D27</f>
        <v>309095</v>
      </c>
      <c r="E26" s="324" t="s">
        <v>5</v>
      </c>
      <c r="F26" s="312">
        <f t="shared" si="0"/>
        <v>406905</v>
      </c>
    </row>
    <row r="27" spans="1:6">
      <c r="A27" s="314"/>
      <c r="B27" s="315" t="s">
        <v>255</v>
      </c>
      <c r="C27" s="316">
        <v>716000</v>
      </c>
      <c r="D27" s="320">
        <f>44225+47900+50980+56340+56415+53235</f>
        <v>309095</v>
      </c>
      <c r="E27" s="317" t="s">
        <v>5</v>
      </c>
      <c r="F27" s="326">
        <f t="shared" si="0"/>
        <v>406905</v>
      </c>
    </row>
    <row r="28" spans="1:6">
      <c r="A28" s="314"/>
      <c r="B28" s="321"/>
      <c r="C28" s="316"/>
      <c r="D28" s="320"/>
      <c r="E28" s="319"/>
      <c r="F28" s="318"/>
    </row>
    <row r="29" spans="1:6">
      <c r="A29" s="308" t="s">
        <v>120</v>
      </c>
      <c r="B29" s="323"/>
      <c r="C29" s="310">
        <f>SUM(C30:C31)</f>
        <v>100000</v>
      </c>
      <c r="D29" s="325">
        <f>D30+D31</f>
        <v>102700</v>
      </c>
      <c r="E29" s="311" t="s">
        <v>390</v>
      </c>
      <c r="F29" s="326">
        <f t="shared" si="0"/>
        <v>-2700</v>
      </c>
    </row>
    <row r="30" spans="1:6">
      <c r="A30" s="314"/>
      <c r="B30" s="315" t="s">
        <v>256</v>
      </c>
      <c r="C30" s="316">
        <v>80000</v>
      </c>
      <c r="D30" s="320">
        <f>6000+8000+25000+27000</f>
        <v>66000</v>
      </c>
      <c r="E30" s="317" t="s">
        <v>5</v>
      </c>
      <c r="F30" s="326">
        <f t="shared" si="0"/>
        <v>14000</v>
      </c>
    </row>
    <row r="31" spans="1:6">
      <c r="A31" s="314"/>
      <c r="B31" s="315" t="s">
        <v>257</v>
      </c>
      <c r="C31" s="316">
        <v>20000</v>
      </c>
      <c r="D31" s="320">
        <f>2000+22500+5750+6450</f>
        <v>36700</v>
      </c>
      <c r="E31" s="317" t="s">
        <v>390</v>
      </c>
      <c r="F31" s="318">
        <f t="shared" si="0"/>
        <v>-16700</v>
      </c>
    </row>
    <row r="32" spans="1:6">
      <c r="A32" s="314"/>
      <c r="B32" s="315"/>
      <c r="C32" s="316"/>
      <c r="D32" s="320"/>
      <c r="E32" s="317"/>
      <c r="F32" s="318"/>
    </row>
    <row r="33" spans="1:6">
      <c r="A33" s="308" t="s">
        <v>258</v>
      </c>
      <c r="B33" s="323"/>
      <c r="C33" s="310">
        <f>SUM(C34)</f>
        <v>0</v>
      </c>
      <c r="D33" s="325">
        <f>D34</f>
        <v>0</v>
      </c>
      <c r="E33" s="311" t="s">
        <v>5</v>
      </c>
      <c r="F33" s="326">
        <f>C33-D33</f>
        <v>0</v>
      </c>
    </row>
    <row r="34" spans="1:6">
      <c r="A34" s="314"/>
      <c r="B34" s="315" t="s">
        <v>259</v>
      </c>
      <c r="C34" s="316">
        <v>0</v>
      </c>
      <c r="D34" s="320">
        <v>0</v>
      </c>
      <c r="E34" s="317" t="s">
        <v>5</v>
      </c>
      <c r="F34" s="326">
        <f>C34-D34</f>
        <v>0</v>
      </c>
    </row>
    <row r="35" spans="1:6">
      <c r="A35" s="314"/>
      <c r="B35" s="315"/>
      <c r="C35" s="316"/>
      <c r="D35" s="320"/>
      <c r="E35" s="317"/>
      <c r="F35" s="318"/>
    </row>
    <row r="36" spans="1:6">
      <c r="A36" s="314"/>
      <c r="B36" s="315"/>
      <c r="C36" s="316"/>
      <c r="D36" s="320"/>
      <c r="E36" s="317"/>
      <c r="F36" s="318"/>
    </row>
    <row r="37" spans="1:6">
      <c r="A37" s="314"/>
      <c r="B37" s="315"/>
      <c r="C37" s="316"/>
      <c r="D37" s="320"/>
      <c r="E37" s="317"/>
      <c r="F37" s="318"/>
    </row>
    <row r="38" spans="1:6">
      <c r="A38" s="314"/>
      <c r="B38" s="315"/>
      <c r="C38" s="316"/>
      <c r="D38" s="320"/>
      <c r="E38" s="317"/>
      <c r="F38" s="318"/>
    </row>
    <row r="39" spans="1:6">
      <c r="A39" s="314"/>
      <c r="B39" s="315"/>
      <c r="C39" s="316"/>
      <c r="D39" s="320"/>
      <c r="E39" s="317"/>
      <c r="F39" s="318"/>
    </row>
    <row r="40" spans="1:6">
      <c r="A40" s="327"/>
      <c r="B40" s="328"/>
      <c r="C40" s="329"/>
      <c r="D40" s="330"/>
      <c r="E40" s="331"/>
      <c r="F40" s="332"/>
    </row>
    <row r="41" spans="1:6" s="307" customFormat="1">
      <c r="A41" s="303" t="s">
        <v>260</v>
      </c>
      <c r="B41" s="304"/>
      <c r="C41" s="333"/>
      <c r="D41" s="333"/>
      <c r="E41" s="334"/>
      <c r="F41" s="305"/>
    </row>
    <row r="42" spans="1:6" s="307" customFormat="1">
      <c r="A42" s="335" t="s">
        <v>119</v>
      </c>
      <c r="B42" s="336"/>
      <c r="C42" s="333">
        <f>SUM(C43:C53)</f>
        <v>14891700</v>
      </c>
      <c r="D42" s="333">
        <f>SUM(D43:D53)</f>
        <v>8091273.7800000012</v>
      </c>
      <c r="E42" s="337" t="s">
        <v>5</v>
      </c>
      <c r="F42" s="312">
        <f t="shared" si="0"/>
        <v>6800426.2199999988</v>
      </c>
    </row>
    <row r="43" spans="1:6">
      <c r="A43" s="314"/>
      <c r="B43" s="315" t="s">
        <v>261</v>
      </c>
      <c r="C43" s="316">
        <v>7583000</v>
      </c>
      <c r="D43" s="316">
        <f>750308.75+647818.48+657419.17+624027.45+1233469.54</f>
        <v>3913043.3899999997</v>
      </c>
      <c r="E43" s="317" t="s">
        <v>5</v>
      </c>
      <c r="F43" s="318">
        <f>C43-D43</f>
        <v>3669956.6100000003</v>
      </c>
    </row>
    <row r="44" spans="1:6">
      <c r="A44" s="314"/>
      <c r="B44" s="315" t="s">
        <v>262</v>
      </c>
      <c r="C44" s="316">
        <v>2601000</v>
      </c>
      <c r="D44" s="316">
        <f>280218.36+276176.38+232566.27+258928.14+313989.97+260923.78</f>
        <v>1622802.9000000001</v>
      </c>
      <c r="E44" s="317" t="s">
        <v>5</v>
      </c>
      <c r="F44" s="318">
        <f t="shared" si="0"/>
        <v>978197.09999999986</v>
      </c>
    </row>
    <row r="45" spans="1:6">
      <c r="A45" s="314"/>
      <c r="B45" s="315" t="s">
        <v>263</v>
      </c>
      <c r="C45" s="316">
        <v>127800</v>
      </c>
      <c r="D45" s="316">
        <f>34100.72+38313.6</f>
        <v>72414.320000000007</v>
      </c>
      <c r="E45" s="317" t="s">
        <v>5</v>
      </c>
      <c r="F45" s="318">
        <f t="shared" si="0"/>
        <v>55385.679999999993</v>
      </c>
    </row>
    <row r="46" spans="1:6">
      <c r="A46" s="314"/>
      <c r="B46" s="315" t="s">
        <v>264</v>
      </c>
      <c r="C46" s="316">
        <v>1332400</v>
      </c>
      <c r="D46" s="316">
        <f>113203.19+237165.4+113047.26+163530.18+128185.03+152503.13</f>
        <v>907634.19000000006</v>
      </c>
      <c r="E46" s="317" t="s">
        <v>5</v>
      </c>
      <c r="F46" s="318">
        <f t="shared" si="0"/>
        <v>424765.80999999994</v>
      </c>
    </row>
    <row r="47" spans="1:6">
      <c r="A47" s="314" t="s">
        <v>265</v>
      </c>
      <c r="B47" s="315" t="s">
        <v>266</v>
      </c>
      <c r="C47" s="316">
        <v>2913100</v>
      </c>
      <c r="D47" s="316">
        <f>167735.79+367184.06+135078.4+211644.68+260273.57+212166.95</f>
        <v>1354083.45</v>
      </c>
      <c r="E47" s="317" t="s">
        <v>5</v>
      </c>
      <c r="F47" s="318">
        <f t="shared" si="0"/>
        <v>1559016.55</v>
      </c>
    </row>
    <row r="48" spans="1:6">
      <c r="A48" s="314"/>
      <c r="B48" s="315" t="s">
        <v>267</v>
      </c>
      <c r="C48" s="316">
        <v>0</v>
      </c>
      <c r="D48" s="316">
        <v>74012.73</v>
      </c>
      <c r="E48" s="317" t="s">
        <v>390</v>
      </c>
      <c r="F48" s="318">
        <f t="shared" si="0"/>
        <v>-74012.73</v>
      </c>
    </row>
    <row r="49" spans="1:7">
      <c r="A49" s="314"/>
      <c r="B49" s="315" t="s">
        <v>268</v>
      </c>
      <c r="C49" s="316">
        <v>180000</v>
      </c>
      <c r="D49" s="316">
        <f>26908.57+22911.99</f>
        <v>49820.56</v>
      </c>
      <c r="E49" s="317" t="s">
        <v>5</v>
      </c>
      <c r="F49" s="318">
        <f t="shared" si="0"/>
        <v>130179.44</v>
      </c>
    </row>
    <row r="50" spans="1:7">
      <c r="A50" s="314"/>
      <c r="B50" s="315" t="s">
        <v>269</v>
      </c>
      <c r="C50" s="316">
        <v>151400</v>
      </c>
      <c r="D50" s="316">
        <f>30111+28894+21728+2652+12638</f>
        <v>96023</v>
      </c>
      <c r="E50" s="317" t="s">
        <v>5</v>
      </c>
      <c r="F50" s="318">
        <f t="shared" si="0"/>
        <v>55377</v>
      </c>
      <c r="G50" s="313"/>
    </row>
    <row r="51" spans="1:7">
      <c r="A51" s="314"/>
      <c r="B51" s="315" t="s">
        <v>361</v>
      </c>
      <c r="C51" s="316">
        <v>2500</v>
      </c>
      <c r="D51" s="316">
        <f>651.88+748.56</f>
        <v>1400.44</v>
      </c>
      <c r="E51" s="317" t="s">
        <v>5</v>
      </c>
      <c r="F51" s="318">
        <f t="shared" si="0"/>
        <v>1099.56</v>
      </c>
      <c r="G51" s="313"/>
    </row>
    <row r="52" spans="1:7">
      <c r="A52" s="314"/>
      <c r="B52" s="315" t="s">
        <v>387</v>
      </c>
      <c r="C52" s="316">
        <v>0</v>
      </c>
      <c r="D52" s="316">
        <v>0</v>
      </c>
      <c r="E52" s="317" t="s">
        <v>5</v>
      </c>
      <c r="F52" s="318">
        <f t="shared" si="0"/>
        <v>0</v>
      </c>
      <c r="G52" s="313"/>
    </row>
    <row r="53" spans="1:7">
      <c r="A53" s="314"/>
      <c r="B53" s="315" t="s">
        <v>391</v>
      </c>
      <c r="C53" s="316">
        <v>500</v>
      </c>
      <c r="D53" s="316">
        <v>38.799999999999997</v>
      </c>
      <c r="E53" s="317" t="s">
        <v>5</v>
      </c>
      <c r="F53" s="318">
        <f t="shared" si="0"/>
        <v>461.2</v>
      </c>
      <c r="G53" s="313"/>
    </row>
    <row r="54" spans="1:7" s="307" customFormat="1">
      <c r="A54" s="338" t="s">
        <v>270</v>
      </c>
      <c r="B54" s="339"/>
      <c r="C54" s="340">
        <f>SUM(C55:C66)</f>
        <v>13644000</v>
      </c>
      <c r="D54" s="340">
        <f>SUM(D55)</f>
        <v>9611836</v>
      </c>
      <c r="E54" s="337" t="s">
        <v>5</v>
      </c>
      <c r="F54" s="312">
        <f>C54-D54</f>
        <v>4032164</v>
      </c>
    </row>
    <row r="55" spans="1:7">
      <c r="A55" s="314"/>
      <c r="B55" s="315" t="s">
        <v>271</v>
      </c>
      <c r="C55" s="320">
        <v>13644000</v>
      </c>
      <c r="D55" s="341">
        <f>1414095+5758537+2439204</f>
        <v>9611836</v>
      </c>
      <c r="E55" s="319" t="s">
        <v>5</v>
      </c>
      <c r="F55" s="326">
        <f>C55-D55</f>
        <v>4032164</v>
      </c>
    </row>
    <row r="56" spans="1:7">
      <c r="A56" s="314"/>
      <c r="B56" s="315"/>
      <c r="C56" s="320"/>
      <c r="D56" s="341"/>
      <c r="E56" s="319"/>
      <c r="F56" s="316"/>
    </row>
    <row r="57" spans="1:7">
      <c r="A57" s="338" t="s">
        <v>272</v>
      </c>
      <c r="B57" s="339"/>
      <c r="C57" s="340"/>
      <c r="D57" s="340">
        <f>SUM(D58:D69)</f>
        <v>9782526</v>
      </c>
      <c r="E57" s="337" t="s">
        <v>5</v>
      </c>
      <c r="F57" s="333">
        <v>0</v>
      </c>
    </row>
    <row r="58" spans="1:7">
      <c r="A58" s="338"/>
      <c r="B58" s="315" t="s">
        <v>422</v>
      </c>
      <c r="C58" s="364"/>
      <c r="D58" s="320">
        <v>1075346</v>
      </c>
      <c r="E58" s="365"/>
      <c r="F58" s="316">
        <f t="shared" ref="F58:F69" si="1">D58</f>
        <v>1075346</v>
      </c>
    </row>
    <row r="59" spans="1:7">
      <c r="A59" s="338"/>
      <c r="B59" s="315" t="s">
        <v>273</v>
      </c>
      <c r="C59" s="316"/>
      <c r="D59" s="316">
        <f>1664700+1109800+1109800</f>
        <v>3884300</v>
      </c>
      <c r="E59" s="319" t="s">
        <v>5</v>
      </c>
      <c r="F59" s="316">
        <f t="shared" si="1"/>
        <v>3884300</v>
      </c>
    </row>
    <row r="60" spans="1:7">
      <c r="A60" s="314"/>
      <c r="B60" s="315" t="s">
        <v>274</v>
      </c>
      <c r="C60" s="316"/>
      <c r="D60" s="316">
        <f>177000+200600+188800</f>
        <v>566400</v>
      </c>
      <c r="E60" s="319" t="s">
        <v>5</v>
      </c>
      <c r="F60" s="316">
        <f t="shared" si="1"/>
        <v>566400</v>
      </c>
    </row>
    <row r="61" spans="1:7">
      <c r="A61" s="314"/>
      <c r="B61" s="315" t="s">
        <v>275</v>
      </c>
      <c r="C61" s="316"/>
      <c r="D61" s="316">
        <f>163500+54500+109000</f>
        <v>327000</v>
      </c>
      <c r="E61" s="319" t="s">
        <v>5</v>
      </c>
      <c r="F61" s="316">
        <f t="shared" si="1"/>
        <v>327000</v>
      </c>
    </row>
    <row r="62" spans="1:7">
      <c r="A62" s="314"/>
      <c r="B62" s="315" t="s">
        <v>364</v>
      </c>
      <c r="C62" s="316"/>
      <c r="D62" s="316">
        <f>215190+215190</f>
        <v>430380</v>
      </c>
      <c r="E62" s="319" t="s">
        <v>5</v>
      </c>
      <c r="F62" s="316">
        <f t="shared" si="1"/>
        <v>430380</v>
      </c>
    </row>
    <row r="63" spans="1:7">
      <c r="A63" s="314"/>
      <c r="B63" s="315" t="s">
        <v>365</v>
      </c>
      <c r="C63" s="316"/>
      <c r="D63" s="316">
        <f>8175+2725+5450</f>
        <v>16350</v>
      </c>
      <c r="E63" s="319" t="s">
        <v>5</v>
      </c>
      <c r="F63" s="316">
        <f t="shared" si="1"/>
        <v>16350</v>
      </c>
    </row>
    <row r="64" spans="1:7">
      <c r="A64" s="314"/>
      <c r="B64" s="315" t="s">
        <v>372</v>
      </c>
      <c r="C64" s="316"/>
      <c r="D64" s="316">
        <v>191250</v>
      </c>
      <c r="E64" s="319" t="s">
        <v>5</v>
      </c>
      <c r="F64" s="316">
        <f t="shared" si="1"/>
        <v>191250</v>
      </c>
    </row>
    <row r="65" spans="1:8">
      <c r="A65" s="314"/>
      <c r="B65" s="315" t="s">
        <v>375</v>
      </c>
      <c r="C65" s="316"/>
      <c r="D65" s="316">
        <v>80000</v>
      </c>
      <c r="E65" s="319" t="s">
        <v>5</v>
      </c>
      <c r="F65" s="316">
        <f t="shared" si="1"/>
        <v>80000</v>
      </c>
    </row>
    <row r="66" spans="1:8">
      <c r="A66" s="314"/>
      <c r="B66" s="315" t="s">
        <v>440</v>
      </c>
      <c r="C66" s="316"/>
      <c r="D66" s="316">
        <v>52500</v>
      </c>
      <c r="E66" s="319" t="s">
        <v>5</v>
      </c>
      <c r="F66" s="316">
        <f t="shared" si="1"/>
        <v>52500</v>
      </c>
    </row>
    <row r="67" spans="1:8">
      <c r="A67" s="314"/>
      <c r="B67" s="315" t="s">
        <v>467</v>
      </c>
      <c r="C67" s="316"/>
      <c r="D67" s="316">
        <v>1605000</v>
      </c>
      <c r="E67" s="319" t="s">
        <v>5</v>
      </c>
      <c r="F67" s="316">
        <f t="shared" si="1"/>
        <v>1605000</v>
      </c>
    </row>
    <row r="68" spans="1:8">
      <c r="A68" s="314"/>
      <c r="B68" s="315" t="s">
        <v>468</v>
      </c>
      <c r="C68" s="316"/>
      <c r="D68" s="316">
        <v>1554000</v>
      </c>
      <c r="E68" s="319" t="s">
        <v>5</v>
      </c>
      <c r="F68" s="316">
        <f t="shared" si="1"/>
        <v>1554000</v>
      </c>
    </row>
    <row r="69" spans="1:8">
      <c r="A69" s="314"/>
      <c r="B69" s="315"/>
      <c r="C69" s="316"/>
      <c r="D69" s="316">
        <v>0</v>
      </c>
      <c r="E69" s="319"/>
      <c r="F69" s="316">
        <f t="shared" si="1"/>
        <v>0</v>
      </c>
    </row>
    <row r="70" spans="1:8" s="307" customFormat="1">
      <c r="A70" s="342" t="s">
        <v>276</v>
      </c>
      <c r="B70" s="343"/>
      <c r="C70" s="340">
        <f>+C7+C42+C54</f>
        <v>29871700</v>
      </c>
      <c r="D70" s="340">
        <f>D7+D42+D54</f>
        <v>18588748.359999999</v>
      </c>
      <c r="E70" s="337" t="s">
        <v>390</v>
      </c>
      <c r="F70" s="333">
        <f>+C70-D70</f>
        <v>11282951.640000001</v>
      </c>
      <c r="G70" s="344"/>
    </row>
    <row r="71" spans="1:8" s="307" customFormat="1">
      <c r="A71" s="345"/>
      <c r="B71" s="346"/>
      <c r="C71" s="347"/>
      <c r="D71" s="347"/>
      <c r="E71" s="348"/>
      <c r="F71" s="349"/>
      <c r="G71" s="344"/>
    </row>
    <row r="72" spans="1:8">
      <c r="A72" s="350"/>
      <c r="B72" s="350"/>
      <c r="C72" s="350"/>
      <c r="D72" s="350"/>
      <c r="E72" s="350"/>
      <c r="F72" s="350"/>
    </row>
    <row r="73" spans="1:8">
      <c r="A73" s="351"/>
      <c r="B73" s="351"/>
      <c r="C73" s="351"/>
      <c r="D73" s="351"/>
      <c r="E73" s="351"/>
      <c r="F73" s="350"/>
    </row>
    <row r="74" spans="1:8">
      <c r="A74" s="351"/>
      <c r="B74" s="351"/>
      <c r="C74" s="351"/>
      <c r="D74" s="351"/>
      <c r="E74" s="351"/>
      <c r="F74" s="350"/>
    </row>
    <row r="75" spans="1:8">
      <c r="D75" s="352"/>
      <c r="F75" s="313"/>
      <c r="H75" s="313"/>
    </row>
    <row r="76" spans="1:8">
      <c r="D76" s="352"/>
      <c r="F76" s="313"/>
    </row>
    <row r="77" spans="1:8">
      <c r="D77" s="352"/>
    </row>
    <row r="78" spans="1:8">
      <c r="D78" s="352"/>
    </row>
    <row r="79" spans="1:8">
      <c r="D79" s="352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F9" sqref="F9"/>
    </sheetView>
  </sheetViews>
  <sheetFormatPr defaultColWidth="8.85546875" defaultRowHeight="15"/>
  <cols>
    <col min="1" max="1" width="9.85546875" style="51" bestFit="1" customWidth="1"/>
    <col min="2" max="2" width="43.42578125" style="51" customWidth="1"/>
    <col min="3" max="3" width="13.140625" style="51" customWidth="1"/>
    <col min="4" max="4" width="12.140625" style="51" customWidth="1"/>
    <col min="5" max="5" width="12.7109375" style="51" customWidth="1"/>
    <col min="6" max="16384" width="8.85546875" style="51"/>
  </cols>
  <sheetData>
    <row r="1" spans="1:8" ht="23.25">
      <c r="A1" s="510" t="s">
        <v>282</v>
      </c>
      <c r="B1" s="510"/>
      <c r="C1" s="510"/>
      <c r="D1" s="510"/>
      <c r="E1" s="510"/>
    </row>
    <row r="2" spans="1:8" ht="23.25">
      <c r="A2" s="510" t="s">
        <v>278</v>
      </c>
      <c r="B2" s="510"/>
      <c r="C2" s="510"/>
      <c r="D2" s="510"/>
      <c r="E2" s="510"/>
    </row>
    <row r="3" spans="1:8" ht="23.25">
      <c r="A3" s="510" t="s">
        <v>442</v>
      </c>
      <c r="B3" s="510"/>
      <c r="C3" s="510"/>
      <c r="D3" s="510"/>
      <c r="E3" s="510"/>
    </row>
    <row r="4" spans="1:8" ht="23.25">
      <c r="A4" s="146" t="s">
        <v>362</v>
      </c>
      <c r="B4" s="147"/>
      <c r="C4" s="147"/>
      <c r="D4" s="147"/>
      <c r="E4" s="147"/>
    </row>
    <row r="5" spans="1:8" ht="23.25">
      <c r="A5" s="146"/>
      <c r="B5" s="147"/>
      <c r="C5" s="147"/>
      <c r="D5" s="147"/>
      <c r="E5" s="147"/>
    </row>
    <row r="6" spans="1:8" ht="28.5" customHeight="1">
      <c r="A6" s="511" t="s">
        <v>401</v>
      </c>
      <c r="B6" s="511" t="s">
        <v>66</v>
      </c>
      <c r="C6" s="511" t="s">
        <v>279</v>
      </c>
      <c r="D6" s="511" t="s">
        <v>280</v>
      </c>
      <c r="E6" s="511" t="s">
        <v>281</v>
      </c>
    </row>
    <row r="7" spans="1:8" ht="38.25" customHeight="1">
      <c r="A7" s="512"/>
      <c r="B7" s="512"/>
      <c r="C7" s="512"/>
      <c r="D7" s="512"/>
      <c r="E7" s="512"/>
    </row>
    <row r="8" spans="1:8" ht="43.5">
      <c r="A8" s="295" t="s">
        <v>402</v>
      </c>
      <c r="B8" s="292" t="s">
        <v>400</v>
      </c>
      <c r="C8" s="283">
        <v>10000</v>
      </c>
      <c r="D8" s="283">
        <v>10000</v>
      </c>
      <c r="E8" s="293">
        <v>0</v>
      </c>
    </row>
    <row r="9" spans="1:8" ht="21.75">
      <c r="A9" s="296"/>
      <c r="B9" s="284"/>
      <c r="C9" s="285"/>
      <c r="D9" s="285"/>
      <c r="E9" s="293"/>
    </row>
    <row r="10" spans="1:8" ht="21.75">
      <c r="A10" s="286"/>
      <c r="B10" s="284"/>
      <c r="C10" s="285"/>
      <c r="D10" s="285"/>
      <c r="E10" s="285"/>
    </row>
    <row r="11" spans="1:8" ht="21.75">
      <c r="A11" s="286"/>
      <c r="B11" s="284"/>
      <c r="C11" s="285"/>
      <c r="D11" s="285"/>
      <c r="E11" s="285"/>
    </row>
    <row r="12" spans="1:8" ht="21.75">
      <c r="A12" s="286"/>
      <c r="B12" s="284"/>
      <c r="C12" s="285"/>
      <c r="D12" s="285"/>
      <c r="E12" s="285"/>
    </row>
    <row r="13" spans="1:8" ht="21.75">
      <c r="A13" s="286"/>
      <c r="B13" s="284"/>
      <c r="C13" s="285"/>
      <c r="D13" s="285"/>
      <c r="E13" s="285"/>
    </row>
    <row r="14" spans="1:8" ht="21.75">
      <c r="A14" s="286"/>
      <c r="B14" s="284"/>
      <c r="C14" s="285"/>
      <c r="D14" s="285"/>
      <c r="E14" s="285"/>
      <c r="H14" s="287"/>
    </row>
    <row r="15" spans="1:8" ht="21.75">
      <c r="A15" s="286"/>
      <c r="B15" s="284"/>
      <c r="C15" s="285"/>
      <c r="D15" s="285"/>
      <c r="E15" s="285"/>
    </row>
    <row r="16" spans="1:8" ht="21.75">
      <c r="A16" s="286"/>
      <c r="B16" s="284"/>
      <c r="C16" s="285"/>
      <c r="D16" s="285"/>
      <c r="E16" s="285"/>
    </row>
    <row r="17" spans="1:8" ht="21.75">
      <c r="A17" s="286"/>
      <c r="B17" s="284"/>
      <c r="C17" s="285"/>
      <c r="D17" s="285"/>
      <c r="E17" s="285"/>
    </row>
    <row r="18" spans="1:8" ht="21.75">
      <c r="A18" s="286"/>
      <c r="B18" s="284"/>
      <c r="C18" s="285"/>
      <c r="D18" s="285"/>
      <c r="E18" s="285"/>
    </row>
    <row r="19" spans="1:8" ht="21.75">
      <c r="A19" s="286"/>
      <c r="B19" s="284"/>
      <c r="C19" s="285"/>
      <c r="D19" s="285"/>
      <c r="E19" s="285"/>
    </row>
    <row r="20" spans="1:8" ht="21.75">
      <c r="A20" s="286"/>
      <c r="B20" s="284"/>
      <c r="C20" s="285"/>
      <c r="D20" s="285"/>
      <c r="E20" s="285"/>
    </row>
    <row r="21" spans="1:8" ht="21.75">
      <c r="A21" s="286"/>
      <c r="B21" s="284"/>
      <c r="C21" s="285"/>
      <c r="D21" s="285"/>
      <c r="E21" s="285"/>
    </row>
    <row r="22" spans="1:8" ht="21.75">
      <c r="A22" s="286"/>
      <c r="B22" s="284"/>
      <c r="C22" s="285"/>
      <c r="D22" s="285"/>
      <c r="E22" s="285"/>
    </row>
    <row r="23" spans="1:8" ht="21.75">
      <c r="A23" s="286"/>
      <c r="B23" s="282"/>
      <c r="C23" s="285"/>
      <c r="D23" s="285"/>
      <c r="E23" s="285"/>
    </row>
    <row r="24" spans="1:8" ht="21.75">
      <c r="A24" s="286"/>
      <c r="B24" s="284"/>
      <c r="C24" s="285"/>
      <c r="D24" s="285"/>
      <c r="E24" s="285"/>
    </row>
    <row r="25" spans="1:8" ht="21.75">
      <c r="A25" s="286"/>
      <c r="B25" s="284"/>
      <c r="C25" s="285"/>
      <c r="D25" s="285"/>
      <c r="E25" s="285"/>
    </row>
    <row r="26" spans="1:8" ht="21.75">
      <c r="A26" s="286"/>
      <c r="B26" s="284"/>
      <c r="C26" s="285"/>
      <c r="D26" s="285"/>
      <c r="E26" s="285"/>
    </row>
    <row r="27" spans="1:8" ht="21.75">
      <c r="A27" s="286"/>
      <c r="B27" s="288"/>
      <c r="C27" s="285"/>
      <c r="D27" s="285"/>
      <c r="E27" s="285"/>
    </row>
    <row r="28" spans="1:8" ht="21.75">
      <c r="A28" s="286"/>
      <c r="B28" s="284"/>
      <c r="C28" s="285"/>
      <c r="D28" s="285"/>
      <c r="E28" s="285"/>
    </row>
    <row r="29" spans="1:8" ht="21.75">
      <c r="A29" s="286"/>
      <c r="B29" s="284"/>
      <c r="C29" s="285"/>
      <c r="D29" s="285"/>
      <c r="E29" s="285"/>
    </row>
    <row r="30" spans="1:8" ht="22.5" thickBot="1">
      <c r="A30" s="508" t="s">
        <v>54</v>
      </c>
      <c r="B30" s="509"/>
      <c r="C30" s="289">
        <f>SUM(C8:C14)</f>
        <v>10000</v>
      </c>
      <c r="D30" s="289">
        <f t="shared" ref="D30:E30" si="0">SUM(D8:D14)</f>
        <v>10000</v>
      </c>
      <c r="E30" s="289">
        <f t="shared" si="0"/>
        <v>0</v>
      </c>
      <c r="G30" s="148"/>
      <c r="H30" s="148"/>
    </row>
    <row r="31" spans="1:8" ht="15.75" thickTop="1"/>
    <row r="33" spans="1:5" ht="21.75">
      <c r="A33" s="290"/>
      <c r="B33" s="290"/>
      <c r="C33" s="290"/>
      <c r="D33" s="290"/>
      <c r="E33" s="290"/>
    </row>
    <row r="34" spans="1:5" ht="21.75">
      <c r="A34" s="291"/>
      <c r="B34" s="291"/>
      <c r="C34" s="291"/>
      <c r="D34" s="291"/>
      <c r="E34" s="291"/>
    </row>
    <row r="35" spans="1:5" ht="21.75">
      <c r="A35" s="291"/>
      <c r="B35" s="291"/>
      <c r="C35" s="291"/>
      <c r="D35" s="291"/>
      <c r="E35" s="291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6" workbookViewId="0">
      <selection activeCell="N16" sqref="N16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15" t="s">
        <v>22</v>
      </c>
      <c r="B1" s="516"/>
      <c r="C1" s="516"/>
      <c r="D1" s="516"/>
      <c r="E1" s="516"/>
      <c r="F1" s="516"/>
      <c r="G1" s="517"/>
      <c r="H1" s="515" t="s">
        <v>23</v>
      </c>
      <c r="I1" s="516"/>
      <c r="J1" s="517"/>
      <c r="K1" s="1"/>
    </row>
    <row r="2" spans="1:12" ht="21.75" customHeight="1">
      <c r="A2" s="518" t="s">
        <v>24</v>
      </c>
      <c r="B2" s="519"/>
      <c r="C2" s="519"/>
      <c r="D2" s="519"/>
      <c r="E2" s="519"/>
      <c r="F2" s="519"/>
      <c r="G2" s="520"/>
      <c r="H2" s="521" t="s">
        <v>161</v>
      </c>
      <c r="I2" s="522"/>
      <c r="J2" s="523"/>
    </row>
    <row r="3" spans="1:12" ht="12.75" customHeight="1">
      <c r="A3" s="3"/>
      <c r="B3" s="4"/>
      <c r="C3" s="5"/>
      <c r="D3" s="6"/>
      <c r="E3" s="5"/>
      <c r="F3" s="5"/>
      <c r="G3" s="7"/>
      <c r="H3" s="524" t="s">
        <v>26</v>
      </c>
      <c r="I3" s="525"/>
      <c r="J3" s="526"/>
    </row>
    <row r="4" spans="1:12" ht="18.75" customHeight="1">
      <c r="A4" s="8"/>
      <c r="B4" s="9" t="s">
        <v>367</v>
      </c>
      <c r="C4" s="9"/>
      <c r="D4" s="9"/>
      <c r="E4" s="527">
        <v>21275</v>
      </c>
      <c r="F4" s="527"/>
      <c r="G4" s="10"/>
      <c r="H4" s="11"/>
      <c r="I4" s="12">
        <v>8653615.5099999998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8653615.5099999998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87"/>
      <c r="C7" s="16"/>
      <c r="D7" s="15"/>
      <c r="E7" s="16"/>
      <c r="F7" s="88"/>
      <c r="G7" s="10"/>
      <c r="H7" s="8"/>
      <c r="I7" s="82">
        <f>SUM(F7:F8)</f>
        <v>0</v>
      </c>
      <c r="J7" s="10"/>
    </row>
    <row r="8" spans="1:12" ht="9" customHeight="1">
      <c r="A8" s="8"/>
      <c r="B8" s="87"/>
      <c r="C8" s="16"/>
      <c r="D8" s="15"/>
      <c r="E8" s="16"/>
      <c r="F8" s="8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3">
        <f>L5-I33</f>
        <v>153743.06999999844</v>
      </c>
    </row>
    <row r="10" spans="1:12" ht="18.95" customHeight="1">
      <c r="A10" s="8"/>
      <c r="B10" s="395" t="s">
        <v>465</v>
      </c>
      <c r="C10" s="9"/>
      <c r="D10" s="101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280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393</v>
      </c>
      <c r="C12" s="281"/>
      <c r="D12" s="20" t="s">
        <v>394</v>
      </c>
      <c r="E12" s="9"/>
      <c r="F12" s="100">
        <v>500</v>
      </c>
      <c r="G12" s="10"/>
      <c r="H12" s="8"/>
      <c r="I12" s="9"/>
      <c r="J12" s="10"/>
    </row>
    <row r="13" spans="1:12" ht="18.95" customHeight="1">
      <c r="A13" s="8"/>
      <c r="B13" s="20" t="s">
        <v>425</v>
      </c>
      <c r="C13" s="366"/>
      <c r="D13" s="20" t="s">
        <v>426</v>
      </c>
      <c r="E13" s="9"/>
      <c r="F13" s="100">
        <v>10857.57</v>
      </c>
      <c r="G13" s="10"/>
      <c r="H13" s="8"/>
      <c r="I13" s="53"/>
      <c r="J13" s="10"/>
    </row>
    <row r="14" spans="1:12" ht="18.95" customHeight="1">
      <c r="A14" s="8"/>
      <c r="B14" s="20" t="s">
        <v>425</v>
      </c>
      <c r="C14" s="366"/>
      <c r="D14" s="20" t="s">
        <v>427</v>
      </c>
      <c r="E14" s="9"/>
      <c r="F14" s="21">
        <v>4653</v>
      </c>
      <c r="G14" s="10"/>
      <c r="H14" s="8"/>
      <c r="I14" s="102">
        <f>SUM(F11:F27)</f>
        <v>142638.03</v>
      </c>
      <c r="J14" s="10"/>
    </row>
    <row r="15" spans="1:12" ht="18.95" customHeight="1">
      <c r="A15" s="8"/>
      <c r="B15" s="20" t="s">
        <v>433</v>
      </c>
      <c r="C15" s="389"/>
      <c r="D15" s="20" t="s">
        <v>434</v>
      </c>
      <c r="E15" s="9"/>
      <c r="F15" s="21">
        <v>4801.5</v>
      </c>
      <c r="G15" s="10"/>
      <c r="H15" s="8"/>
      <c r="I15" s="9"/>
      <c r="J15" s="10"/>
    </row>
    <row r="16" spans="1:12" ht="18.95" customHeight="1">
      <c r="A16" s="8"/>
      <c r="B16" s="20" t="s">
        <v>445</v>
      </c>
      <c r="C16" s="395"/>
      <c r="D16" s="20" t="s">
        <v>446</v>
      </c>
      <c r="E16" s="9"/>
      <c r="F16" s="21">
        <v>9456</v>
      </c>
      <c r="G16" s="10"/>
      <c r="H16" s="8"/>
      <c r="I16" s="9"/>
      <c r="J16" s="10"/>
    </row>
    <row r="17" spans="1:12" ht="18.95" customHeight="1">
      <c r="A17" s="8"/>
      <c r="B17" s="20" t="s">
        <v>447</v>
      </c>
      <c r="C17" s="395"/>
      <c r="D17" s="20" t="s">
        <v>448</v>
      </c>
      <c r="E17" s="9"/>
      <c r="F17" s="21">
        <v>490</v>
      </c>
      <c r="G17" s="10"/>
      <c r="H17" s="8"/>
      <c r="J17" s="10"/>
      <c r="L17" s="27">
        <f>I4-I33</f>
        <v>153743.06999999844</v>
      </c>
    </row>
    <row r="18" spans="1:12" ht="18.95" customHeight="1">
      <c r="A18" s="8"/>
      <c r="B18" s="20" t="s">
        <v>450</v>
      </c>
      <c r="C18" s="395"/>
      <c r="D18" s="20" t="s">
        <v>449</v>
      </c>
      <c r="E18" s="9"/>
      <c r="F18" s="21">
        <v>19080</v>
      </c>
      <c r="G18" s="10"/>
      <c r="H18" s="8"/>
      <c r="I18" s="53"/>
      <c r="J18" s="10"/>
      <c r="L18" s="27"/>
    </row>
    <row r="19" spans="1:12" ht="18.95" customHeight="1">
      <c r="A19" s="8"/>
      <c r="B19" s="20" t="s">
        <v>452</v>
      </c>
      <c r="C19" s="395"/>
      <c r="D19" s="20" t="s">
        <v>451</v>
      </c>
      <c r="E19" s="9"/>
      <c r="F19" s="21">
        <v>15000</v>
      </c>
      <c r="G19" s="10"/>
      <c r="H19" s="8"/>
      <c r="I19" s="53"/>
      <c r="J19" s="10"/>
      <c r="L19" s="27"/>
    </row>
    <row r="20" spans="1:12" ht="18.95" customHeight="1">
      <c r="A20" s="8"/>
      <c r="B20" s="20" t="s">
        <v>452</v>
      </c>
      <c r="C20" s="395"/>
      <c r="D20" s="20" t="s">
        <v>453</v>
      </c>
      <c r="E20" s="9"/>
      <c r="F20" s="21">
        <v>55476.639999999999</v>
      </c>
      <c r="G20" s="10"/>
      <c r="H20" s="8"/>
      <c r="I20" s="53"/>
      <c r="J20" s="10"/>
      <c r="L20" s="27">
        <f>SUM(F19:F21)</f>
        <v>71476.639999999999</v>
      </c>
    </row>
    <row r="21" spans="1:12" ht="18.95" customHeight="1">
      <c r="A21" s="8"/>
      <c r="B21" s="20" t="s">
        <v>452</v>
      </c>
      <c r="C21" s="395"/>
      <c r="D21" s="20" t="s">
        <v>454</v>
      </c>
      <c r="E21" s="9"/>
      <c r="F21" s="21">
        <v>1000</v>
      </c>
      <c r="G21" s="10"/>
      <c r="H21" s="8"/>
      <c r="I21" s="53"/>
      <c r="J21" s="10"/>
      <c r="L21" s="27"/>
    </row>
    <row r="22" spans="1:12" ht="18.95" customHeight="1">
      <c r="A22" s="8"/>
      <c r="B22" s="20" t="s">
        <v>452</v>
      </c>
      <c r="C22" s="395"/>
      <c r="D22" s="20" t="s">
        <v>455</v>
      </c>
      <c r="E22" s="9"/>
      <c r="F22" s="100">
        <v>4440</v>
      </c>
      <c r="G22" s="10"/>
      <c r="H22" s="8"/>
      <c r="I22" s="9"/>
      <c r="J22" s="10"/>
    </row>
    <row r="23" spans="1:12" ht="18.95" customHeight="1">
      <c r="A23" s="8"/>
      <c r="B23" s="20" t="s">
        <v>452</v>
      </c>
      <c r="C23" s="395"/>
      <c r="D23" s="20" t="s">
        <v>456</v>
      </c>
      <c r="E23" s="9"/>
      <c r="F23" s="100">
        <v>5000</v>
      </c>
      <c r="G23" s="10"/>
      <c r="H23" s="8"/>
      <c r="I23" s="9"/>
      <c r="J23" s="10"/>
    </row>
    <row r="24" spans="1:12" ht="18.95" customHeight="1">
      <c r="A24" s="8"/>
      <c r="B24" s="20" t="s">
        <v>452</v>
      </c>
      <c r="C24" s="395"/>
      <c r="D24" s="20" t="s">
        <v>457</v>
      </c>
      <c r="E24" s="9"/>
      <c r="F24" s="100">
        <v>1000</v>
      </c>
      <c r="G24" s="10"/>
      <c r="H24" s="8"/>
      <c r="I24" s="9"/>
      <c r="J24" s="10"/>
    </row>
    <row r="25" spans="1:12" ht="18.95" customHeight="1">
      <c r="A25" s="8"/>
      <c r="B25" s="20" t="s">
        <v>452</v>
      </c>
      <c r="C25" s="395"/>
      <c r="D25" s="20" t="s">
        <v>458</v>
      </c>
      <c r="E25" s="9"/>
      <c r="F25" s="100">
        <v>7800</v>
      </c>
      <c r="G25" s="10"/>
      <c r="H25" s="8"/>
      <c r="I25" s="9"/>
      <c r="J25" s="10"/>
    </row>
    <row r="26" spans="1:12" ht="18.95" customHeight="1">
      <c r="A26" s="8"/>
      <c r="B26" s="20" t="s">
        <v>452</v>
      </c>
      <c r="C26" s="395"/>
      <c r="D26" s="20" t="s">
        <v>459</v>
      </c>
      <c r="E26" s="9"/>
      <c r="F26" s="100">
        <v>341.32</v>
      </c>
      <c r="G26" s="10"/>
      <c r="H26" s="8"/>
      <c r="I26" s="9"/>
      <c r="J26" s="10"/>
    </row>
    <row r="27" spans="1:12" ht="18.95" customHeight="1">
      <c r="A27" s="8"/>
      <c r="B27" s="20" t="s">
        <v>452</v>
      </c>
      <c r="C27" s="395"/>
      <c r="D27" s="20" t="s">
        <v>460</v>
      </c>
      <c r="E27" s="9"/>
      <c r="F27" s="100">
        <v>2742</v>
      </c>
      <c r="G27" s="10"/>
      <c r="H27" s="8"/>
      <c r="I27" s="9"/>
      <c r="J27" s="10"/>
    </row>
    <row r="28" spans="1:12" ht="18.95" customHeight="1">
      <c r="A28" s="8"/>
      <c r="B28" s="294"/>
      <c r="C28" s="279"/>
      <c r="D28" s="20"/>
      <c r="E28" s="9"/>
      <c r="F28" s="100"/>
      <c r="G28" s="10"/>
      <c r="H28" s="8"/>
      <c r="I28" s="25"/>
      <c r="J28" s="10"/>
    </row>
    <row r="29" spans="1:12" ht="18.95" customHeight="1">
      <c r="A29" s="8"/>
      <c r="B29" s="14" t="s">
        <v>388</v>
      </c>
      <c r="C29" s="280"/>
      <c r="D29" s="99"/>
      <c r="E29" s="9"/>
      <c r="F29" s="100"/>
      <c r="G29" s="10"/>
      <c r="H29" s="8"/>
      <c r="I29" s="9"/>
      <c r="J29" s="10"/>
    </row>
    <row r="30" spans="1:12" ht="18.95" customHeight="1">
      <c r="A30" s="8"/>
      <c r="B30" s="20" t="s">
        <v>461</v>
      </c>
      <c r="C30" s="399"/>
      <c r="D30" s="20" t="s">
        <v>462</v>
      </c>
      <c r="E30" s="9"/>
      <c r="F30" s="100">
        <v>240</v>
      </c>
      <c r="G30" s="10"/>
      <c r="H30" s="8"/>
      <c r="I30" s="25"/>
      <c r="J30" s="10"/>
    </row>
    <row r="31" spans="1:12" ht="18.95" customHeight="1">
      <c r="A31" s="8"/>
      <c r="B31" s="396" t="s">
        <v>463</v>
      </c>
      <c r="C31" s="529" t="s">
        <v>464</v>
      </c>
      <c r="D31" s="529"/>
      <c r="E31" s="398"/>
      <c r="F31" s="100">
        <v>10865.04</v>
      </c>
      <c r="G31" s="10"/>
      <c r="H31" s="8"/>
      <c r="I31" s="52">
        <f>SUM(F30:F31)</f>
        <v>11105.04</v>
      </c>
      <c r="J31" s="10"/>
    </row>
    <row r="32" spans="1:12">
      <c r="A32" s="8"/>
      <c r="B32" s="275"/>
      <c r="C32" s="274"/>
      <c r="D32" s="99"/>
      <c r="E32" s="9"/>
      <c r="F32" s="100"/>
      <c r="G32" s="10"/>
      <c r="H32" s="8"/>
      <c r="I32" s="25"/>
      <c r="J32" s="10"/>
    </row>
    <row r="33" spans="1:12" ht="21.75" customHeight="1">
      <c r="A33" s="28"/>
      <c r="B33" s="29" t="s">
        <v>368</v>
      </c>
      <c r="C33" s="29"/>
      <c r="D33" s="29"/>
      <c r="E33" s="528">
        <f>E4</f>
        <v>21275</v>
      </c>
      <c r="F33" s="528"/>
      <c r="G33" s="31"/>
      <c r="H33" s="28"/>
      <c r="I33" s="12">
        <f>I4-I14-I31</f>
        <v>8499872.4400000013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513" t="s">
        <v>373</v>
      </c>
      <c r="C35" s="513"/>
      <c r="D35" s="513"/>
      <c r="E35" s="10"/>
      <c r="F35" s="514" t="s">
        <v>175</v>
      </c>
      <c r="G35" s="513"/>
      <c r="H35" s="513"/>
      <c r="I35" s="513"/>
      <c r="J35" s="10"/>
    </row>
    <row r="36" spans="1:12">
      <c r="A36" s="8"/>
      <c r="B36" s="513" t="s">
        <v>174</v>
      </c>
      <c r="C36" s="513"/>
      <c r="D36" s="513"/>
      <c r="E36" s="10"/>
      <c r="F36" s="514" t="s">
        <v>392</v>
      </c>
      <c r="G36" s="513"/>
      <c r="H36" s="513"/>
      <c r="I36" s="513"/>
      <c r="J36" s="10"/>
      <c r="L36" s="24"/>
    </row>
    <row r="37" spans="1:12">
      <c r="A37" s="28"/>
      <c r="B37" s="522" t="s">
        <v>177</v>
      </c>
      <c r="C37" s="522"/>
      <c r="D37" s="522"/>
      <c r="E37" s="31"/>
      <c r="F37" s="521" t="s">
        <v>176</v>
      </c>
      <c r="G37" s="522"/>
      <c r="H37" s="522"/>
      <c r="I37" s="522"/>
      <c r="J37" s="31"/>
    </row>
    <row r="38" spans="1:12" ht="20.100000000000001" customHeight="1">
      <c r="A38" s="5"/>
      <c r="B38" s="5"/>
      <c r="C38" s="5"/>
      <c r="D38" s="5" t="s">
        <v>265</v>
      </c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15" t="s">
        <v>22</v>
      </c>
      <c r="B58" s="516"/>
      <c r="C58" s="516"/>
      <c r="D58" s="516"/>
      <c r="E58" s="516"/>
      <c r="F58" s="516"/>
      <c r="G58" s="517"/>
      <c r="H58" s="515" t="s">
        <v>23</v>
      </c>
      <c r="I58" s="516"/>
      <c r="J58" s="517"/>
      <c r="K58" s="1"/>
    </row>
    <row r="59" spans="1:11" ht="21.75" customHeight="1">
      <c r="A59" s="518" t="s">
        <v>24</v>
      </c>
      <c r="B59" s="519"/>
      <c r="C59" s="519"/>
      <c r="D59" s="519"/>
      <c r="E59" s="519"/>
      <c r="F59" s="519"/>
      <c r="G59" s="520"/>
      <c r="H59" s="521" t="s">
        <v>87</v>
      </c>
      <c r="I59" s="522"/>
      <c r="J59" s="523"/>
    </row>
    <row r="60" spans="1:11" ht="14.25" customHeight="1">
      <c r="A60" s="3"/>
      <c r="B60" s="4"/>
      <c r="C60" s="5"/>
      <c r="D60" s="6"/>
      <c r="E60" s="5"/>
      <c r="F60" s="5"/>
      <c r="G60" s="7"/>
      <c r="H60" s="524" t="s">
        <v>26</v>
      </c>
      <c r="I60" s="525"/>
      <c r="J60" s="526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01" t="s">
        <v>35</v>
      </c>
      <c r="C67" s="9"/>
      <c r="D67" s="101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515" t="s">
        <v>22</v>
      </c>
      <c r="B95" s="516"/>
      <c r="C95" s="516"/>
      <c r="D95" s="516"/>
      <c r="E95" s="516"/>
      <c r="F95" s="516"/>
      <c r="G95" s="517"/>
      <c r="H95" s="515" t="s">
        <v>23</v>
      </c>
      <c r="I95" s="516"/>
      <c r="J95" s="517"/>
      <c r="K95" s="1"/>
    </row>
    <row r="96" spans="1:12" ht="21.75" customHeight="1">
      <c r="A96" s="518" t="s">
        <v>24</v>
      </c>
      <c r="B96" s="519"/>
      <c r="C96" s="519"/>
      <c r="D96" s="519"/>
      <c r="E96" s="519"/>
      <c r="F96" s="519"/>
      <c r="G96" s="520"/>
      <c r="H96" s="521" t="s">
        <v>25</v>
      </c>
      <c r="I96" s="522"/>
      <c r="J96" s="523"/>
    </row>
    <row r="97" spans="1:11" ht="14.25" customHeight="1">
      <c r="A97" s="3"/>
      <c r="B97" s="4"/>
      <c r="C97" s="5"/>
      <c r="D97" s="6"/>
      <c r="E97" s="5"/>
      <c r="F97" s="5"/>
      <c r="G97" s="7"/>
      <c r="H97" s="524" t="s">
        <v>26</v>
      </c>
      <c r="I97" s="525"/>
      <c r="J97" s="526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01" t="s">
        <v>35</v>
      </c>
      <c r="C104" s="9"/>
      <c r="D104" s="101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101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101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101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101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101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101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101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101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101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101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101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>
      <c r="A116" s="8"/>
      <c r="B116" s="20" t="s">
        <v>92</v>
      </c>
      <c r="C116" s="9"/>
      <c r="D116" s="101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101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101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101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101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101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101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101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01" t="s">
        <v>35</v>
      </c>
      <c r="C127" s="9"/>
      <c r="D127" s="101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101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15" t="s">
        <v>22</v>
      </c>
      <c r="B133" s="516"/>
      <c r="C133" s="516"/>
      <c r="D133" s="516"/>
      <c r="E133" s="516"/>
      <c r="F133" s="516"/>
      <c r="G133" s="517"/>
      <c r="H133" s="515" t="s">
        <v>23</v>
      </c>
      <c r="I133" s="516"/>
      <c r="J133" s="517"/>
      <c r="K133" s="1"/>
    </row>
    <row r="134" spans="1:11" ht="21.75" customHeight="1">
      <c r="A134" s="518" t="s">
        <v>24</v>
      </c>
      <c r="B134" s="519"/>
      <c r="C134" s="519"/>
      <c r="D134" s="519"/>
      <c r="E134" s="519"/>
      <c r="F134" s="519"/>
      <c r="G134" s="520"/>
      <c r="H134" s="521" t="s">
        <v>87</v>
      </c>
      <c r="I134" s="522"/>
      <c r="J134" s="523"/>
    </row>
    <row r="135" spans="1:11" ht="14.25" customHeight="1">
      <c r="A135" s="3"/>
      <c r="B135" s="4"/>
      <c r="C135" s="5"/>
      <c r="D135" s="6"/>
      <c r="E135" s="5"/>
      <c r="F135" s="5"/>
      <c r="G135" s="7"/>
      <c r="H135" s="524" t="s">
        <v>26</v>
      </c>
      <c r="I135" s="525"/>
      <c r="J135" s="526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01" t="s">
        <v>35</v>
      </c>
      <c r="C142" s="9"/>
      <c r="D142" s="101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9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C31:D31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Y190"/>
  <sheetViews>
    <sheetView zoomScale="80" zoomScaleNormal="80" zoomScaleSheetLayoutView="80" workbookViewId="0">
      <pane xSplit="1" ySplit="5" topLeftCell="C126" activePane="bottomRight" state="frozen"/>
      <selection pane="topRight" activeCell="B1" sqref="B1"/>
      <selection pane="bottomLeft" activeCell="A6" sqref="A6"/>
      <selection pane="bottomRight" activeCell="F139" sqref="F139"/>
    </sheetView>
  </sheetViews>
  <sheetFormatPr defaultColWidth="9.140625" defaultRowHeight="20.25" customHeight="1"/>
  <cols>
    <col min="1" max="1" width="11.42578125" style="135" customWidth="1"/>
    <col min="2" max="3" width="12" style="103" bestFit="1" customWidth="1"/>
    <col min="4" max="4" width="10.5703125" style="103" bestFit="1" customWidth="1"/>
    <col min="5" max="5" width="9.5703125" style="103" customWidth="1"/>
    <col min="6" max="7" width="12" style="103" bestFit="1" customWidth="1"/>
    <col min="8" max="8" width="6.7109375" style="103" bestFit="1" customWidth="1"/>
    <col min="9" max="9" width="9.5703125" style="103" bestFit="1" customWidth="1"/>
    <col min="10" max="10" width="6.85546875" style="103" bestFit="1" customWidth="1"/>
    <col min="11" max="11" width="6.7109375" style="103" bestFit="1" customWidth="1"/>
    <col min="12" max="12" width="9.5703125" style="103" customWidth="1"/>
    <col min="13" max="13" width="12" style="103" bestFit="1" customWidth="1"/>
    <col min="14" max="15" width="6.7109375" style="103" customWidth="1"/>
    <col min="16" max="16" width="9.5703125" style="103" customWidth="1"/>
    <col min="17" max="17" width="6.7109375" style="103" customWidth="1"/>
    <col min="18" max="18" width="6.7109375" style="103" bestFit="1" customWidth="1"/>
    <col min="19" max="20" width="10.5703125" style="103" bestFit="1" customWidth="1"/>
    <col min="21" max="21" width="7.28515625" style="103" bestFit="1" customWidth="1"/>
    <col min="22" max="22" width="12" style="103" bestFit="1" customWidth="1"/>
    <col min="23" max="23" width="12.7109375" style="103" bestFit="1" customWidth="1"/>
    <col min="24" max="24" width="10.5703125" style="103" bestFit="1" customWidth="1"/>
    <col min="25" max="25" width="12.85546875" style="103" bestFit="1" customWidth="1"/>
    <col min="26" max="16384" width="9.140625" style="103"/>
  </cols>
  <sheetData>
    <row r="1" spans="1:25" ht="20.25" customHeight="1">
      <c r="A1" s="530" t="s">
        <v>190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</row>
    <row r="2" spans="1:25" ht="20.25" customHeight="1">
      <c r="A2" s="530" t="s">
        <v>191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</row>
    <row r="3" spans="1:25" ht="20.25" customHeight="1" thickBot="1">
      <c r="A3" s="531" t="s">
        <v>466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</row>
    <row r="4" spans="1:25" ht="20.25" customHeight="1">
      <c r="A4" s="263" t="s">
        <v>192</v>
      </c>
      <c r="B4" s="532" t="s">
        <v>403</v>
      </c>
      <c r="C4" s="532"/>
      <c r="D4" s="532" t="s">
        <v>405</v>
      </c>
      <c r="E4" s="532"/>
      <c r="F4" s="532" t="s">
        <v>404</v>
      </c>
      <c r="G4" s="532"/>
      <c r="H4" s="532"/>
      <c r="I4" s="532" t="s">
        <v>406</v>
      </c>
      <c r="J4" s="532"/>
      <c r="K4" s="532" t="s">
        <v>407</v>
      </c>
      <c r="L4" s="532"/>
      <c r="M4" s="533" t="s">
        <v>408</v>
      </c>
      <c r="N4" s="534"/>
      <c r="O4" s="535"/>
      <c r="P4" s="532" t="s">
        <v>409</v>
      </c>
      <c r="Q4" s="532"/>
      <c r="R4" s="532" t="s">
        <v>410</v>
      </c>
      <c r="S4" s="532"/>
      <c r="T4" s="532"/>
      <c r="U4" s="105" t="s">
        <v>201</v>
      </c>
      <c r="V4" s="361" t="s">
        <v>411</v>
      </c>
      <c r="W4" s="361" t="s">
        <v>412</v>
      </c>
      <c r="X4" s="361" t="s">
        <v>413</v>
      </c>
      <c r="Y4" s="536" t="s">
        <v>54</v>
      </c>
    </row>
    <row r="5" spans="1:25" ht="20.25" customHeight="1" thickBot="1">
      <c r="A5" s="264" t="s">
        <v>205</v>
      </c>
      <c r="B5" s="107" t="s">
        <v>206</v>
      </c>
      <c r="C5" s="107" t="s">
        <v>207</v>
      </c>
      <c r="D5" s="107" t="s">
        <v>208</v>
      </c>
      <c r="E5" s="107" t="s">
        <v>209</v>
      </c>
      <c r="F5" s="107" t="s">
        <v>210</v>
      </c>
      <c r="G5" s="107" t="s">
        <v>211</v>
      </c>
      <c r="H5" s="107" t="s">
        <v>212</v>
      </c>
      <c r="I5" s="107" t="s">
        <v>213</v>
      </c>
      <c r="J5" s="107" t="s">
        <v>214</v>
      </c>
      <c r="K5" s="107" t="s">
        <v>215</v>
      </c>
      <c r="L5" s="107" t="s">
        <v>216</v>
      </c>
      <c r="M5" s="108" t="s">
        <v>217</v>
      </c>
      <c r="N5" s="107" t="s">
        <v>218</v>
      </c>
      <c r="O5" s="107" t="s">
        <v>219</v>
      </c>
      <c r="P5" s="107" t="s">
        <v>220</v>
      </c>
      <c r="Q5" s="107" t="s">
        <v>221</v>
      </c>
      <c r="R5" s="107" t="s">
        <v>222</v>
      </c>
      <c r="S5" s="107" t="s">
        <v>223</v>
      </c>
      <c r="T5" s="107" t="s">
        <v>224</v>
      </c>
      <c r="U5" s="107" t="s">
        <v>225</v>
      </c>
      <c r="V5" s="107" t="s">
        <v>227</v>
      </c>
      <c r="W5" s="107" t="s">
        <v>228</v>
      </c>
      <c r="X5" s="107" t="s">
        <v>229</v>
      </c>
      <c r="Y5" s="537"/>
    </row>
    <row r="6" spans="1:25" ht="20.25" customHeight="1">
      <c r="A6" s="265" t="s">
        <v>55</v>
      </c>
      <c r="B6" s="109">
        <v>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0</v>
      </c>
      <c r="T6" s="109">
        <v>0</v>
      </c>
      <c r="U6" s="109">
        <v>0</v>
      </c>
      <c r="V6" s="109">
        <v>0</v>
      </c>
      <c r="W6" s="109">
        <v>0</v>
      </c>
      <c r="X6" s="110">
        <v>250119</v>
      </c>
      <c r="Y6" s="111">
        <f>SUM(B6:X6)</f>
        <v>250119</v>
      </c>
    </row>
    <row r="7" spans="1:25" ht="20.25" customHeight="1">
      <c r="A7" s="266">
        <v>510000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1">
        <f>SUM(B7:X7)</f>
        <v>0</v>
      </c>
    </row>
    <row r="8" spans="1:25" ht="20.25" customHeight="1">
      <c r="A8" s="252" t="s">
        <v>287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4">
        <v>0</v>
      </c>
      <c r="Y8" s="111">
        <f>SUM(B8:X8)</f>
        <v>0</v>
      </c>
    </row>
    <row r="9" spans="1:25" ht="20.25" customHeight="1">
      <c r="A9" s="252" t="s">
        <v>288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4">
        <v>0</v>
      </c>
      <c r="Y9" s="111"/>
    </row>
    <row r="10" spans="1:25" ht="20.25" customHeight="1">
      <c r="A10" s="252" t="s">
        <v>289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4"/>
      <c r="Y10" s="111">
        <f t="shared" ref="Y10:Y17" si="0">SUM(B10:X10)</f>
        <v>0</v>
      </c>
    </row>
    <row r="11" spans="1:25" ht="20.25" customHeight="1">
      <c r="A11" s="252" t="s">
        <v>290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4">
        <v>5500</v>
      </c>
      <c r="Y11" s="111">
        <f t="shared" si="0"/>
        <v>5500</v>
      </c>
    </row>
    <row r="12" spans="1:25" ht="20.25" customHeight="1">
      <c r="A12" s="252" t="s">
        <v>363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4"/>
      <c r="Y12" s="111">
        <f t="shared" si="0"/>
        <v>0</v>
      </c>
    </row>
    <row r="13" spans="1:25" ht="20.25" customHeight="1">
      <c r="A13" s="252" t="s">
        <v>291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4">
        <f>5386+207</f>
        <v>5593</v>
      </c>
      <c r="Y13" s="111">
        <f t="shared" si="0"/>
        <v>5593</v>
      </c>
    </row>
    <row r="14" spans="1:25" ht="20.25" customHeight="1">
      <c r="A14" s="252" t="s">
        <v>292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4">
        <v>0</v>
      </c>
      <c r="Y14" s="111">
        <f t="shared" si="0"/>
        <v>0</v>
      </c>
    </row>
    <row r="15" spans="1:25" ht="20.25" customHeight="1">
      <c r="A15" s="260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4">
        <v>0</v>
      </c>
      <c r="Y15" s="111">
        <f t="shared" si="0"/>
        <v>0</v>
      </c>
    </row>
    <row r="16" spans="1:25" ht="20.25" customHeight="1" thickBot="1">
      <c r="A16" s="260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5">
        <v>0</v>
      </c>
      <c r="Y16" s="111">
        <f t="shared" si="0"/>
        <v>0</v>
      </c>
    </row>
    <row r="17" spans="1:26" ht="20.25" customHeight="1">
      <c r="A17" s="263" t="s">
        <v>230</v>
      </c>
      <c r="B17" s="116">
        <f t="shared" ref="B17:W17" si="1">SUM(B7:B16)</f>
        <v>0</v>
      </c>
      <c r="C17" s="116">
        <f t="shared" si="1"/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  <c r="H17" s="116">
        <f t="shared" si="1"/>
        <v>0</v>
      </c>
      <c r="I17" s="116">
        <f t="shared" si="1"/>
        <v>0</v>
      </c>
      <c r="J17" s="116">
        <f t="shared" si="1"/>
        <v>0</v>
      </c>
      <c r="K17" s="116">
        <f t="shared" si="1"/>
        <v>0</v>
      </c>
      <c r="L17" s="116">
        <f t="shared" si="1"/>
        <v>0</v>
      </c>
      <c r="M17" s="116">
        <f t="shared" si="1"/>
        <v>0</v>
      </c>
      <c r="N17" s="116">
        <f t="shared" si="1"/>
        <v>0</v>
      </c>
      <c r="O17" s="116">
        <f t="shared" si="1"/>
        <v>0</v>
      </c>
      <c r="P17" s="116">
        <f t="shared" si="1"/>
        <v>0</v>
      </c>
      <c r="Q17" s="116">
        <f t="shared" si="1"/>
        <v>0</v>
      </c>
      <c r="R17" s="116">
        <f t="shared" si="1"/>
        <v>0</v>
      </c>
      <c r="S17" s="116">
        <f t="shared" si="1"/>
        <v>0</v>
      </c>
      <c r="T17" s="116">
        <f t="shared" si="1"/>
        <v>0</v>
      </c>
      <c r="U17" s="116">
        <f t="shared" si="1"/>
        <v>0</v>
      </c>
      <c r="V17" s="116">
        <f t="shared" si="1"/>
        <v>0</v>
      </c>
      <c r="W17" s="116">
        <f t="shared" si="1"/>
        <v>0</v>
      </c>
      <c r="X17" s="117">
        <f>SUM(X8:X16)</f>
        <v>11093</v>
      </c>
      <c r="Y17" s="118">
        <f t="shared" si="0"/>
        <v>11093</v>
      </c>
      <c r="Z17" s="119"/>
    </row>
    <row r="18" spans="1:26" ht="20.25" customHeight="1" thickBot="1">
      <c r="A18" s="264" t="s">
        <v>231</v>
      </c>
      <c r="B18" s="115">
        <f t="shared" ref="B18:Y18" si="2">B6+B17</f>
        <v>0</v>
      </c>
      <c r="C18" s="115">
        <f t="shared" si="2"/>
        <v>0</v>
      </c>
      <c r="D18" s="115">
        <f t="shared" si="2"/>
        <v>0</v>
      </c>
      <c r="E18" s="115">
        <f t="shared" si="2"/>
        <v>0</v>
      </c>
      <c r="F18" s="115">
        <f t="shared" si="2"/>
        <v>0</v>
      </c>
      <c r="G18" s="115">
        <f t="shared" si="2"/>
        <v>0</v>
      </c>
      <c r="H18" s="115">
        <f t="shared" si="2"/>
        <v>0</v>
      </c>
      <c r="I18" s="115">
        <f t="shared" si="2"/>
        <v>0</v>
      </c>
      <c r="J18" s="115">
        <f t="shared" si="2"/>
        <v>0</v>
      </c>
      <c r="K18" s="115">
        <f t="shared" si="2"/>
        <v>0</v>
      </c>
      <c r="L18" s="115">
        <f t="shared" si="2"/>
        <v>0</v>
      </c>
      <c r="M18" s="115">
        <f t="shared" si="2"/>
        <v>0</v>
      </c>
      <c r="N18" s="115">
        <f t="shared" si="2"/>
        <v>0</v>
      </c>
      <c r="O18" s="115">
        <f t="shared" si="2"/>
        <v>0</v>
      </c>
      <c r="P18" s="115">
        <f t="shared" si="2"/>
        <v>0</v>
      </c>
      <c r="Q18" s="115">
        <f t="shared" si="2"/>
        <v>0</v>
      </c>
      <c r="R18" s="115">
        <f t="shared" si="2"/>
        <v>0</v>
      </c>
      <c r="S18" s="115">
        <f t="shared" si="2"/>
        <v>0</v>
      </c>
      <c r="T18" s="115">
        <f t="shared" si="2"/>
        <v>0</v>
      </c>
      <c r="U18" s="115">
        <f t="shared" si="2"/>
        <v>0</v>
      </c>
      <c r="V18" s="115">
        <f t="shared" si="2"/>
        <v>0</v>
      </c>
      <c r="W18" s="115">
        <f t="shared" si="2"/>
        <v>0</v>
      </c>
      <c r="X18" s="115">
        <f t="shared" si="2"/>
        <v>261212</v>
      </c>
      <c r="Y18" s="115">
        <f t="shared" si="2"/>
        <v>261212</v>
      </c>
    </row>
    <row r="19" spans="1:26" ht="20.25" customHeight="1">
      <c r="A19" s="267" t="s">
        <v>55</v>
      </c>
      <c r="B19" s="109">
        <v>855300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16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11">
        <f t="shared" ref="Y19:Y25" si="3">SUM(B19:X19)</f>
        <v>855300</v>
      </c>
    </row>
    <row r="20" spans="1:26" ht="20.25" customHeight="1">
      <c r="A20" s="266">
        <v>521000</v>
      </c>
      <c r="B20" s="112" t="s">
        <v>423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09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1">
        <f t="shared" si="3"/>
        <v>0</v>
      </c>
    </row>
    <row r="21" spans="1:26" ht="20.25" customHeight="1">
      <c r="A21" s="252" t="s">
        <v>294</v>
      </c>
      <c r="B21" s="112">
        <v>42840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1">
        <f t="shared" si="3"/>
        <v>42840</v>
      </c>
    </row>
    <row r="22" spans="1:26" ht="20.25" customHeight="1">
      <c r="A22" s="252" t="s">
        <v>295</v>
      </c>
      <c r="B22" s="112">
        <v>3510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1">
        <f t="shared" si="3"/>
        <v>3510</v>
      </c>
    </row>
    <row r="23" spans="1:26" ht="20.25" customHeight="1">
      <c r="A23" s="252" t="s">
        <v>179</v>
      </c>
      <c r="B23" s="112">
        <v>3510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1">
        <f t="shared" si="3"/>
        <v>3510</v>
      </c>
    </row>
    <row r="24" spans="1:26" ht="20.25" customHeight="1">
      <c r="A24" s="252" t="s">
        <v>162</v>
      </c>
      <c r="B24" s="120">
        <v>7200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1">
        <f t="shared" si="3"/>
        <v>7200</v>
      </c>
    </row>
    <row r="25" spans="1:26" ht="20.25" customHeight="1" thickBot="1">
      <c r="A25" s="253" t="s">
        <v>180</v>
      </c>
      <c r="B25" s="112">
        <v>114000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1">
        <f t="shared" si="3"/>
        <v>114000</v>
      </c>
    </row>
    <row r="26" spans="1:26" ht="20.25" customHeight="1">
      <c r="A26" s="263" t="s">
        <v>230</v>
      </c>
      <c r="B26" s="116">
        <f>SUM(B21:B25)</f>
        <v>171060</v>
      </c>
      <c r="C26" s="116">
        <f t="shared" ref="C26:L26" si="4">SUM(C21:C24)</f>
        <v>0</v>
      </c>
      <c r="D26" s="116">
        <f t="shared" si="4"/>
        <v>0</v>
      </c>
      <c r="E26" s="116">
        <f t="shared" si="4"/>
        <v>0</v>
      </c>
      <c r="F26" s="116">
        <f t="shared" si="4"/>
        <v>0</v>
      </c>
      <c r="G26" s="116">
        <f t="shared" si="4"/>
        <v>0</v>
      </c>
      <c r="H26" s="116">
        <f t="shared" si="4"/>
        <v>0</v>
      </c>
      <c r="I26" s="116">
        <f t="shared" si="4"/>
        <v>0</v>
      </c>
      <c r="J26" s="116">
        <f t="shared" si="4"/>
        <v>0</v>
      </c>
      <c r="K26" s="116">
        <f t="shared" si="4"/>
        <v>0</v>
      </c>
      <c r="L26" s="116">
        <f t="shared" si="4"/>
        <v>0</v>
      </c>
      <c r="M26" s="116">
        <f t="shared" ref="M26:X26" si="5">SUM(M22:M24)</f>
        <v>0</v>
      </c>
      <c r="N26" s="116">
        <f t="shared" si="5"/>
        <v>0</v>
      </c>
      <c r="O26" s="116">
        <f t="shared" si="5"/>
        <v>0</v>
      </c>
      <c r="P26" s="116">
        <f t="shared" si="5"/>
        <v>0</v>
      </c>
      <c r="Q26" s="116">
        <f t="shared" si="5"/>
        <v>0</v>
      </c>
      <c r="R26" s="116">
        <f t="shared" si="5"/>
        <v>0</v>
      </c>
      <c r="S26" s="116">
        <f t="shared" si="5"/>
        <v>0</v>
      </c>
      <c r="T26" s="116">
        <f t="shared" si="5"/>
        <v>0</v>
      </c>
      <c r="U26" s="116">
        <f t="shared" si="5"/>
        <v>0</v>
      </c>
      <c r="V26" s="116">
        <f t="shared" si="5"/>
        <v>0</v>
      </c>
      <c r="W26" s="116">
        <f t="shared" si="5"/>
        <v>0</v>
      </c>
      <c r="X26" s="116">
        <f t="shared" si="5"/>
        <v>0</v>
      </c>
      <c r="Y26" s="118">
        <f>SUM(Y20:Y25)</f>
        <v>171060</v>
      </c>
    </row>
    <row r="27" spans="1:26" ht="20.25" customHeight="1" thickBot="1">
      <c r="A27" s="264" t="s">
        <v>231</v>
      </c>
      <c r="B27" s="115">
        <f t="shared" ref="B27:Y27" si="6">B19+B26</f>
        <v>1026360</v>
      </c>
      <c r="C27" s="115">
        <f t="shared" si="6"/>
        <v>0</v>
      </c>
      <c r="D27" s="115">
        <f t="shared" si="6"/>
        <v>0</v>
      </c>
      <c r="E27" s="115">
        <f t="shared" si="6"/>
        <v>0</v>
      </c>
      <c r="F27" s="115">
        <f t="shared" si="6"/>
        <v>0</v>
      </c>
      <c r="G27" s="115">
        <f t="shared" si="6"/>
        <v>0</v>
      </c>
      <c r="H27" s="115">
        <f t="shared" si="6"/>
        <v>0</v>
      </c>
      <c r="I27" s="115">
        <f t="shared" si="6"/>
        <v>0</v>
      </c>
      <c r="J27" s="115">
        <f t="shared" si="6"/>
        <v>0</v>
      </c>
      <c r="K27" s="115">
        <f t="shared" si="6"/>
        <v>0</v>
      </c>
      <c r="L27" s="115">
        <f t="shared" si="6"/>
        <v>0</v>
      </c>
      <c r="M27" s="115">
        <f t="shared" si="6"/>
        <v>0</v>
      </c>
      <c r="N27" s="115">
        <f t="shared" si="6"/>
        <v>0</v>
      </c>
      <c r="O27" s="115">
        <f t="shared" si="6"/>
        <v>0</v>
      </c>
      <c r="P27" s="115">
        <f t="shared" si="6"/>
        <v>0</v>
      </c>
      <c r="Q27" s="115">
        <f t="shared" si="6"/>
        <v>0</v>
      </c>
      <c r="R27" s="115">
        <f t="shared" si="6"/>
        <v>0</v>
      </c>
      <c r="S27" s="115">
        <f t="shared" si="6"/>
        <v>0</v>
      </c>
      <c r="T27" s="115">
        <f t="shared" si="6"/>
        <v>0</v>
      </c>
      <c r="U27" s="115">
        <f t="shared" si="6"/>
        <v>0</v>
      </c>
      <c r="V27" s="115">
        <f t="shared" si="6"/>
        <v>0</v>
      </c>
      <c r="W27" s="115">
        <f t="shared" si="6"/>
        <v>0</v>
      </c>
      <c r="X27" s="115">
        <f t="shared" si="6"/>
        <v>0</v>
      </c>
      <c r="Y27" s="122">
        <f t="shared" si="6"/>
        <v>1026360</v>
      </c>
    </row>
    <row r="28" spans="1:26" ht="20.25" customHeight="1">
      <c r="A28" s="267" t="s">
        <v>55</v>
      </c>
      <c r="B28" s="112">
        <v>1068030</v>
      </c>
      <c r="C28" s="112">
        <v>554952</v>
      </c>
      <c r="D28" s="109"/>
      <c r="E28" s="109"/>
      <c r="F28" s="109">
        <v>269130</v>
      </c>
      <c r="G28" s="109"/>
      <c r="H28" s="109"/>
      <c r="I28" s="109"/>
      <c r="J28" s="109"/>
      <c r="K28" s="109"/>
      <c r="L28" s="109"/>
      <c r="M28" s="112">
        <v>378550</v>
      </c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1">
        <f t="shared" ref="Y28:Y37" si="7">SUM(B28:X28)</f>
        <v>2270662</v>
      </c>
    </row>
    <row r="29" spans="1:26" ht="20.25" customHeight="1">
      <c r="A29" s="266">
        <v>522000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1">
        <f t="shared" si="7"/>
        <v>0</v>
      </c>
    </row>
    <row r="30" spans="1:26" ht="20.25" customHeight="1">
      <c r="A30" s="252" t="s">
        <v>296</v>
      </c>
      <c r="B30" s="114">
        <v>151001</v>
      </c>
      <c r="C30" s="114">
        <v>77410</v>
      </c>
      <c r="D30" s="114"/>
      <c r="E30" s="114"/>
      <c r="F30" s="114">
        <v>35030</v>
      </c>
      <c r="G30" s="114"/>
      <c r="H30" s="114"/>
      <c r="I30" s="114"/>
      <c r="J30" s="114"/>
      <c r="K30" s="114"/>
      <c r="L30" s="114"/>
      <c r="M30" s="114">
        <v>39790</v>
      </c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1">
        <f t="shared" si="7"/>
        <v>303231</v>
      </c>
    </row>
    <row r="31" spans="1:26" ht="20.25" customHeight="1">
      <c r="A31" s="252" t="s">
        <v>297</v>
      </c>
      <c r="B31" s="112">
        <v>0</v>
      </c>
      <c r="C31" s="112">
        <v>0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>
        <v>0</v>
      </c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1">
        <f t="shared" si="7"/>
        <v>0</v>
      </c>
    </row>
    <row r="32" spans="1:26" ht="20.25" customHeight="1">
      <c r="A32" s="252" t="s">
        <v>298</v>
      </c>
      <c r="B32" s="114">
        <v>14700</v>
      </c>
      <c r="C32" s="114">
        <v>3500</v>
      </c>
      <c r="D32" s="114"/>
      <c r="E32" s="114"/>
      <c r="F32" s="114">
        <v>3500</v>
      </c>
      <c r="G32" s="114"/>
      <c r="H32" s="114"/>
      <c r="I32" s="114"/>
      <c r="J32" s="114"/>
      <c r="K32" s="114"/>
      <c r="L32" s="114"/>
      <c r="M32" s="114">
        <v>3500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1">
        <f t="shared" si="7"/>
        <v>25200</v>
      </c>
    </row>
    <row r="33" spans="1:25" ht="20.25" customHeight="1">
      <c r="A33" s="252" t="s">
        <v>299</v>
      </c>
      <c r="B33" s="114">
        <v>15720</v>
      </c>
      <c r="C33" s="114">
        <v>0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1">
        <f t="shared" si="7"/>
        <v>15720</v>
      </c>
    </row>
    <row r="34" spans="1:25" ht="20.25" customHeight="1">
      <c r="A34" s="252" t="s">
        <v>300</v>
      </c>
      <c r="B34" s="114">
        <v>0</v>
      </c>
      <c r="C34" s="114">
        <v>0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1">
        <f t="shared" si="7"/>
        <v>0</v>
      </c>
    </row>
    <row r="35" spans="1:25" ht="20.25" customHeight="1">
      <c r="A35" s="252" t="s">
        <v>301</v>
      </c>
      <c r="B35" s="112">
        <v>27000</v>
      </c>
      <c r="C35" s="112">
        <v>29000</v>
      </c>
      <c r="D35" s="112"/>
      <c r="E35" s="112"/>
      <c r="F35" s="112">
        <f>580+18580</f>
        <v>19160</v>
      </c>
      <c r="G35" s="112"/>
      <c r="H35" s="112"/>
      <c r="I35" s="112"/>
      <c r="J35" s="112"/>
      <c r="K35" s="112"/>
      <c r="L35" s="112"/>
      <c r="M35" s="112">
        <v>29420</v>
      </c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1">
        <f t="shared" si="7"/>
        <v>104580</v>
      </c>
    </row>
    <row r="36" spans="1:25" ht="20.25" customHeight="1">
      <c r="A36" s="254" t="s">
        <v>302</v>
      </c>
      <c r="B36" s="112">
        <v>0</v>
      </c>
      <c r="C36" s="112">
        <v>1285</v>
      </c>
      <c r="D36" s="112"/>
      <c r="E36" s="112"/>
      <c r="F36" s="112">
        <f>3570+3570</f>
        <v>7140</v>
      </c>
      <c r="G36" s="112"/>
      <c r="H36" s="112"/>
      <c r="I36" s="112"/>
      <c r="J36" s="112"/>
      <c r="K36" s="112"/>
      <c r="L36" s="112"/>
      <c r="M36" s="112">
        <v>3000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21">
        <f t="shared" si="7"/>
        <v>11425</v>
      </c>
    </row>
    <row r="37" spans="1:25" ht="20.25" customHeight="1">
      <c r="A37" s="268" t="s">
        <v>230</v>
      </c>
      <c r="B37" s="109">
        <f t="shared" ref="B37:X37" si="8">SUM(B30:B36)</f>
        <v>208421</v>
      </c>
      <c r="C37" s="109">
        <f t="shared" si="8"/>
        <v>111195</v>
      </c>
      <c r="D37" s="109">
        <f t="shared" si="8"/>
        <v>0</v>
      </c>
      <c r="E37" s="109">
        <f t="shared" si="8"/>
        <v>0</v>
      </c>
      <c r="F37" s="109">
        <f t="shared" si="8"/>
        <v>64830</v>
      </c>
      <c r="G37" s="109">
        <f t="shared" si="8"/>
        <v>0</v>
      </c>
      <c r="H37" s="109">
        <f t="shared" si="8"/>
        <v>0</v>
      </c>
      <c r="I37" s="109">
        <f t="shared" si="8"/>
        <v>0</v>
      </c>
      <c r="J37" s="109">
        <f t="shared" si="8"/>
        <v>0</v>
      </c>
      <c r="K37" s="109">
        <f t="shared" si="8"/>
        <v>0</v>
      </c>
      <c r="L37" s="109">
        <f t="shared" si="8"/>
        <v>0</v>
      </c>
      <c r="M37" s="109">
        <f t="shared" si="8"/>
        <v>75710</v>
      </c>
      <c r="N37" s="109">
        <f t="shared" si="8"/>
        <v>0</v>
      </c>
      <c r="O37" s="109">
        <f t="shared" si="8"/>
        <v>0</v>
      </c>
      <c r="P37" s="109">
        <f t="shared" si="8"/>
        <v>0</v>
      </c>
      <c r="Q37" s="109">
        <f t="shared" si="8"/>
        <v>0</v>
      </c>
      <c r="R37" s="109">
        <f t="shared" si="8"/>
        <v>0</v>
      </c>
      <c r="S37" s="109">
        <f t="shared" si="8"/>
        <v>0</v>
      </c>
      <c r="T37" s="109">
        <f t="shared" si="8"/>
        <v>0</v>
      </c>
      <c r="U37" s="109">
        <f t="shared" si="8"/>
        <v>0</v>
      </c>
      <c r="V37" s="109">
        <f t="shared" si="8"/>
        <v>0</v>
      </c>
      <c r="W37" s="109">
        <f t="shared" si="8"/>
        <v>0</v>
      </c>
      <c r="X37" s="109">
        <f t="shared" si="8"/>
        <v>0</v>
      </c>
      <c r="Y37" s="111">
        <f t="shared" si="7"/>
        <v>460156</v>
      </c>
    </row>
    <row r="38" spans="1:25" ht="20.25" customHeight="1" thickBot="1">
      <c r="A38" s="264" t="s">
        <v>231</v>
      </c>
      <c r="B38" s="115">
        <f t="shared" ref="B38:Y38" si="9">B28+B37</f>
        <v>1276451</v>
      </c>
      <c r="C38" s="115">
        <f t="shared" si="9"/>
        <v>666147</v>
      </c>
      <c r="D38" s="115">
        <f t="shared" si="9"/>
        <v>0</v>
      </c>
      <c r="E38" s="115">
        <f t="shared" si="9"/>
        <v>0</v>
      </c>
      <c r="F38" s="115">
        <f t="shared" si="9"/>
        <v>333960</v>
      </c>
      <c r="G38" s="115">
        <f t="shared" si="9"/>
        <v>0</v>
      </c>
      <c r="H38" s="115">
        <f t="shared" si="9"/>
        <v>0</v>
      </c>
      <c r="I38" s="115">
        <f t="shared" si="9"/>
        <v>0</v>
      </c>
      <c r="J38" s="115">
        <f t="shared" si="9"/>
        <v>0</v>
      </c>
      <c r="K38" s="115">
        <f t="shared" si="9"/>
        <v>0</v>
      </c>
      <c r="L38" s="115">
        <f t="shared" si="9"/>
        <v>0</v>
      </c>
      <c r="M38" s="115">
        <f t="shared" si="9"/>
        <v>454260</v>
      </c>
      <c r="N38" s="115">
        <f t="shared" si="9"/>
        <v>0</v>
      </c>
      <c r="O38" s="115">
        <f t="shared" si="9"/>
        <v>0</v>
      </c>
      <c r="P38" s="115">
        <f t="shared" si="9"/>
        <v>0</v>
      </c>
      <c r="Q38" s="115">
        <f t="shared" si="9"/>
        <v>0</v>
      </c>
      <c r="R38" s="115">
        <f t="shared" si="9"/>
        <v>0</v>
      </c>
      <c r="S38" s="115">
        <f t="shared" si="9"/>
        <v>0</v>
      </c>
      <c r="T38" s="115">
        <f t="shared" si="9"/>
        <v>0</v>
      </c>
      <c r="U38" s="115">
        <f t="shared" si="9"/>
        <v>0</v>
      </c>
      <c r="V38" s="115">
        <f t="shared" si="9"/>
        <v>0</v>
      </c>
      <c r="W38" s="115">
        <f t="shared" si="9"/>
        <v>0</v>
      </c>
      <c r="X38" s="115">
        <f t="shared" si="9"/>
        <v>0</v>
      </c>
      <c r="Y38" s="122">
        <f t="shared" si="9"/>
        <v>2730818</v>
      </c>
    </row>
    <row r="39" spans="1:25" ht="20.25" customHeight="1">
      <c r="A39" s="145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</row>
    <row r="40" spans="1:25" ht="20.25" customHeight="1">
      <c r="A40" s="145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</row>
    <row r="41" spans="1:25" ht="20.25" customHeight="1">
      <c r="A41" s="145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</row>
    <row r="42" spans="1:25" ht="20.25" customHeight="1">
      <c r="A42" s="145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</row>
    <row r="43" spans="1:25" ht="20.25" customHeight="1">
      <c r="A43" s="145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</row>
    <row r="44" spans="1:25" ht="20.25" customHeight="1">
      <c r="A44" s="540" t="s">
        <v>190</v>
      </c>
      <c r="B44" s="540"/>
      <c r="C44" s="540"/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0"/>
      <c r="R44" s="540"/>
      <c r="S44" s="540"/>
      <c r="T44" s="540"/>
      <c r="U44" s="540"/>
      <c r="V44" s="540"/>
      <c r="W44" s="540"/>
      <c r="X44" s="540"/>
      <c r="Y44" s="540"/>
    </row>
    <row r="45" spans="1:25" ht="20.25" customHeight="1">
      <c r="A45" s="540" t="s">
        <v>191</v>
      </c>
      <c r="B45" s="540"/>
      <c r="C45" s="540"/>
      <c r="D45" s="540"/>
      <c r="E45" s="540"/>
      <c r="F45" s="540"/>
      <c r="G45" s="540"/>
      <c r="H45" s="540"/>
      <c r="I45" s="540"/>
      <c r="J45" s="540"/>
      <c r="K45" s="540"/>
      <c r="L45" s="540"/>
      <c r="M45" s="540"/>
      <c r="N45" s="540"/>
      <c r="O45" s="540"/>
      <c r="P45" s="540"/>
      <c r="Q45" s="540"/>
      <c r="R45" s="540"/>
      <c r="S45" s="540"/>
      <c r="T45" s="540"/>
      <c r="U45" s="540"/>
      <c r="V45" s="540"/>
      <c r="W45" s="540"/>
      <c r="X45" s="540"/>
      <c r="Y45" s="540"/>
    </row>
    <row r="46" spans="1:25" ht="20.25" customHeight="1" thickBot="1">
      <c r="A46" s="531" t="str">
        <f>A3</f>
        <v>วันที่  31  มีนาคม  2558</v>
      </c>
      <c r="B46" s="531"/>
      <c r="C46" s="531"/>
      <c r="D46" s="531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  <c r="S46" s="531"/>
      <c r="T46" s="531"/>
      <c r="U46" s="531"/>
      <c r="V46" s="531"/>
      <c r="W46" s="531"/>
      <c r="X46" s="531"/>
      <c r="Y46" s="531"/>
    </row>
    <row r="47" spans="1:25" ht="20.25" customHeight="1">
      <c r="A47" s="263" t="s">
        <v>192</v>
      </c>
      <c r="B47" s="532" t="s">
        <v>193</v>
      </c>
      <c r="C47" s="532"/>
      <c r="D47" s="532" t="s">
        <v>194</v>
      </c>
      <c r="E47" s="532"/>
      <c r="F47" s="532" t="s">
        <v>195</v>
      </c>
      <c r="G47" s="532"/>
      <c r="H47" s="532"/>
      <c r="I47" s="532" t="s">
        <v>196</v>
      </c>
      <c r="J47" s="532"/>
      <c r="K47" s="532" t="s">
        <v>197</v>
      </c>
      <c r="L47" s="532"/>
      <c r="M47" s="533" t="s">
        <v>198</v>
      </c>
      <c r="N47" s="534"/>
      <c r="O47" s="535"/>
      <c r="P47" s="532" t="s">
        <v>199</v>
      </c>
      <c r="Q47" s="532"/>
      <c r="R47" s="532" t="s">
        <v>200</v>
      </c>
      <c r="S47" s="532"/>
      <c r="T47" s="532"/>
      <c r="U47" s="262" t="s">
        <v>201</v>
      </c>
      <c r="V47" s="361"/>
      <c r="W47" s="262" t="s">
        <v>203</v>
      </c>
      <c r="X47" s="262" t="s">
        <v>204</v>
      </c>
      <c r="Y47" s="536" t="s">
        <v>54</v>
      </c>
    </row>
    <row r="48" spans="1:25" ht="20.25" customHeight="1" thickBot="1">
      <c r="A48" s="264" t="s">
        <v>205</v>
      </c>
      <c r="B48" s="107" t="s">
        <v>206</v>
      </c>
      <c r="C48" s="107" t="s">
        <v>207</v>
      </c>
      <c r="D48" s="107" t="s">
        <v>208</v>
      </c>
      <c r="E48" s="107" t="s">
        <v>209</v>
      </c>
      <c r="F48" s="107" t="s">
        <v>210</v>
      </c>
      <c r="G48" s="107" t="s">
        <v>211</v>
      </c>
      <c r="H48" s="107" t="s">
        <v>212</v>
      </c>
      <c r="I48" s="107" t="s">
        <v>213</v>
      </c>
      <c r="J48" s="107" t="s">
        <v>214</v>
      </c>
      <c r="K48" s="107" t="s">
        <v>215</v>
      </c>
      <c r="L48" s="107" t="s">
        <v>216</v>
      </c>
      <c r="M48" s="108" t="s">
        <v>217</v>
      </c>
      <c r="N48" s="107" t="s">
        <v>218</v>
      </c>
      <c r="O48" s="107" t="s">
        <v>219</v>
      </c>
      <c r="P48" s="107" t="s">
        <v>220</v>
      </c>
      <c r="Q48" s="107" t="s">
        <v>221</v>
      </c>
      <c r="R48" s="107" t="s">
        <v>222</v>
      </c>
      <c r="S48" s="107" t="s">
        <v>223</v>
      </c>
      <c r="T48" s="107" t="s">
        <v>224</v>
      </c>
      <c r="U48" s="107">
        <v>311</v>
      </c>
      <c r="V48" s="107" t="s">
        <v>227</v>
      </c>
      <c r="W48" s="107" t="s">
        <v>228</v>
      </c>
      <c r="X48" s="107" t="s">
        <v>229</v>
      </c>
      <c r="Y48" s="537"/>
    </row>
    <row r="49" spans="1:25" ht="20.25" customHeight="1">
      <c r="A49" s="267" t="s">
        <v>55</v>
      </c>
      <c r="B49" s="109">
        <v>18770</v>
      </c>
      <c r="C49" s="109">
        <v>33820</v>
      </c>
      <c r="D49" s="109">
        <v>0</v>
      </c>
      <c r="E49" s="109"/>
      <c r="F49" s="109"/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/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09">
        <v>0</v>
      </c>
      <c r="X49" s="109">
        <v>0</v>
      </c>
      <c r="Y49" s="111">
        <f t="shared" ref="Y49:Y50" si="10">SUM(B49:X49)</f>
        <v>52590</v>
      </c>
    </row>
    <row r="50" spans="1:25" ht="20.25" customHeight="1">
      <c r="A50" s="266">
        <v>531000</v>
      </c>
      <c r="B50" s="112"/>
      <c r="C50" s="112" t="s">
        <v>428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1">
        <f t="shared" si="10"/>
        <v>0</v>
      </c>
    </row>
    <row r="51" spans="1:25" ht="20.25" customHeight="1">
      <c r="A51" s="255" t="s">
        <v>305</v>
      </c>
      <c r="B51" s="112">
        <v>0</v>
      </c>
      <c r="C51" s="112">
        <v>0</v>
      </c>
      <c r="D51" s="112">
        <v>0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1">
        <f>SUM(B51:X51)</f>
        <v>0</v>
      </c>
    </row>
    <row r="52" spans="1:25" ht="20.25" customHeight="1">
      <c r="A52" s="255" t="s">
        <v>306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1">
        <f t="shared" ref="Y52:Y57" si="11">SUM(B52:X52)</f>
        <v>0</v>
      </c>
    </row>
    <row r="53" spans="1:25" ht="20.25" customHeight="1">
      <c r="A53" s="255" t="s">
        <v>307</v>
      </c>
      <c r="B53" s="112">
        <v>0</v>
      </c>
      <c r="C53" s="112">
        <v>14280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>
        <v>0</v>
      </c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1">
        <f t="shared" si="11"/>
        <v>14280</v>
      </c>
    </row>
    <row r="54" spans="1:25" ht="20.25" customHeight="1">
      <c r="A54" s="255" t="s">
        <v>308</v>
      </c>
      <c r="B54" s="112">
        <v>0</v>
      </c>
      <c r="C54" s="112">
        <v>4950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4"/>
      <c r="Y54" s="111">
        <f t="shared" si="11"/>
        <v>4950</v>
      </c>
    </row>
    <row r="55" spans="1:25" ht="20.25" customHeight="1">
      <c r="A55" s="255" t="s">
        <v>309</v>
      </c>
      <c r="B55" s="124">
        <v>0</v>
      </c>
      <c r="C55" s="112">
        <v>0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1">
        <f t="shared" si="11"/>
        <v>0</v>
      </c>
    </row>
    <row r="56" spans="1:25" ht="20.25" customHeight="1" thickBot="1">
      <c r="A56" s="256" t="s">
        <v>310</v>
      </c>
      <c r="B56" s="125">
        <v>0</v>
      </c>
      <c r="C56" s="112">
        <v>0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>
        <v>0</v>
      </c>
      <c r="N56" s="109">
        <v>0</v>
      </c>
      <c r="O56" s="109"/>
      <c r="P56" s="109"/>
      <c r="Q56" s="109"/>
      <c r="R56" s="109"/>
      <c r="S56" s="109"/>
      <c r="T56" s="109"/>
      <c r="U56" s="109"/>
      <c r="V56" s="109"/>
      <c r="W56" s="109"/>
      <c r="X56" s="115"/>
      <c r="Y56" s="111">
        <f t="shared" si="11"/>
        <v>0</v>
      </c>
    </row>
    <row r="57" spans="1:25" ht="20.25" customHeight="1">
      <c r="A57" s="263" t="s">
        <v>230</v>
      </c>
      <c r="B57" s="116">
        <f t="shared" ref="B57:X57" si="12">SUM(B50:B56)</f>
        <v>0</v>
      </c>
      <c r="C57" s="116">
        <f t="shared" si="12"/>
        <v>19230</v>
      </c>
      <c r="D57" s="116">
        <f t="shared" si="12"/>
        <v>0</v>
      </c>
      <c r="E57" s="116">
        <f t="shared" si="12"/>
        <v>0</v>
      </c>
      <c r="F57" s="116">
        <f t="shared" si="12"/>
        <v>0</v>
      </c>
      <c r="G57" s="116">
        <f t="shared" si="12"/>
        <v>0</v>
      </c>
      <c r="H57" s="116">
        <f t="shared" si="12"/>
        <v>0</v>
      </c>
      <c r="I57" s="116">
        <f t="shared" si="12"/>
        <v>0</v>
      </c>
      <c r="J57" s="116">
        <f t="shared" si="12"/>
        <v>0</v>
      </c>
      <c r="K57" s="116">
        <f t="shared" si="12"/>
        <v>0</v>
      </c>
      <c r="L57" s="116">
        <f t="shared" si="12"/>
        <v>0</v>
      </c>
      <c r="M57" s="116">
        <f t="shared" si="12"/>
        <v>0</v>
      </c>
      <c r="N57" s="116">
        <f t="shared" si="12"/>
        <v>0</v>
      </c>
      <c r="O57" s="116">
        <f t="shared" si="12"/>
        <v>0</v>
      </c>
      <c r="P57" s="116">
        <f t="shared" si="12"/>
        <v>0</v>
      </c>
      <c r="Q57" s="116">
        <f t="shared" si="12"/>
        <v>0</v>
      </c>
      <c r="R57" s="116">
        <f t="shared" si="12"/>
        <v>0</v>
      </c>
      <c r="S57" s="116">
        <f t="shared" si="12"/>
        <v>0</v>
      </c>
      <c r="T57" s="116">
        <f t="shared" si="12"/>
        <v>0</v>
      </c>
      <c r="U57" s="116">
        <f t="shared" si="12"/>
        <v>0</v>
      </c>
      <c r="V57" s="116">
        <f t="shared" si="12"/>
        <v>0</v>
      </c>
      <c r="W57" s="116">
        <f t="shared" si="12"/>
        <v>0</v>
      </c>
      <c r="X57" s="116">
        <f t="shared" si="12"/>
        <v>0</v>
      </c>
      <c r="Y57" s="118">
        <f t="shared" si="11"/>
        <v>19230</v>
      </c>
    </row>
    <row r="58" spans="1:25" ht="20.25" customHeight="1" thickBot="1">
      <c r="A58" s="264" t="s">
        <v>231</v>
      </c>
      <c r="B58" s="115">
        <f>B57+B49</f>
        <v>18770</v>
      </c>
      <c r="C58" s="115">
        <f>C49+C57</f>
        <v>53050</v>
      </c>
      <c r="D58" s="115">
        <f t="shared" ref="D58:L58" si="13">D57+D49</f>
        <v>0</v>
      </c>
      <c r="E58" s="115">
        <f t="shared" si="13"/>
        <v>0</v>
      </c>
      <c r="F58" s="115">
        <f t="shared" si="13"/>
        <v>0</v>
      </c>
      <c r="G58" s="115">
        <f t="shared" si="13"/>
        <v>0</v>
      </c>
      <c r="H58" s="115">
        <f t="shared" si="13"/>
        <v>0</v>
      </c>
      <c r="I58" s="115">
        <f t="shared" si="13"/>
        <v>0</v>
      </c>
      <c r="J58" s="115">
        <f t="shared" si="13"/>
        <v>0</v>
      </c>
      <c r="K58" s="115">
        <f t="shared" si="13"/>
        <v>0</v>
      </c>
      <c r="L58" s="115">
        <f t="shared" si="13"/>
        <v>0</v>
      </c>
      <c r="M58" s="115">
        <f t="shared" ref="M58:Y58" si="14">M49+M57</f>
        <v>0</v>
      </c>
      <c r="N58" s="115">
        <f t="shared" si="14"/>
        <v>0</v>
      </c>
      <c r="O58" s="115">
        <f t="shared" si="14"/>
        <v>0</v>
      </c>
      <c r="P58" s="115">
        <f t="shared" si="14"/>
        <v>0</v>
      </c>
      <c r="Q58" s="115">
        <f t="shared" si="14"/>
        <v>0</v>
      </c>
      <c r="R58" s="115">
        <f t="shared" si="14"/>
        <v>0</v>
      </c>
      <c r="S58" s="115">
        <f t="shared" si="14"/>
        <v>0</v>
      </c>
      <c r="T58" s="115">
        <f t="shared" si="14"/>
        <v>0</v>
      </c>
      <c r="U58" s="115">
        <f t="shared" si="14"/>
        <v>0</v>
      </c>
      <c r="V58" s="115">
        <f t="shared" si="14"/>
        <v>0</v>
      </c>
      <c r="W58" s="115">
        <f t="shared" si="14"/>
        <v>0</v>
      </c>
      <c r="X58" s="115">
        <f t="shared" si="14"/>
        <v>0</v>
      </c>
      <c r="Y58" s="122">
        <f t="shared" si="14"/>
        <v>71820</v>
      </c>
    </row>
    <row r="59" spans="1:25" ht="20.25" customHeight="1">
      <c r="A59" s="265" t="s">
        <v>55</v>
      </c>
      <c r="B59" s="125">
        <v>266352.15999999997</v>
      </c>
      <c r="C59" s="125">
        <v>94220</v>
      </c>
      <c r="D59" s="125">
        <v>75220</v>
      </c>
      <c r="E59" s="125">
        <v>3920</v>
      </c>
      <c r="F59" s="125">
        <v>16670</v>
      </c>
      <c r="G59" s="125">
        <v>496000</v>
      </c>
      <c r="H59" s="125">
        <v>0</v>
      </c>
      <c r="I59" s="125">
        <v>0</v>
      </c>
      <c r="J59" s="125"/>
      <c r="K59" s="125"/>
      <c r="L59" s="125"/>
      <c r="M59" s="126">
        <v>68127.8</v>
      </c>
      <c r="N59" s="125"/>
      <c r="O59" s="125"/>
      <c r="P59" s="125">
        <v>0</v>
      </c>
      <c r="Q59" s="125">
        <v>0</v>
      </c>
      <c r="R59" s="125">
        <v>0</v>
      </c>
      <c r="S59" s="125">
        <v>0</v>
      </c>
      <c r="T59" s="125">
        <v>124310</v>
      </c>
      <c r="U59" s="125"/>
      <c r="V59" s="125">
        <v>4800</v>
      </c>
      <c r="W59" s="125"/>
      <c r="X59" s="125"/>
      <c r="Y59" s="127">
        <f>SUM(B59:X59)</f>
        <v>1149619.96</v>
      </c>
    </row>
    <row r="60" spans="1:25" ht="20.25" customHeight="1">
      <c r="A60" s="266">
        <v>532000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27">
        <f t="shared" ref="Y60:Y64" si="15">SUM(B60:X60)</f>
        <v>0</v>
      </c>
    </row>
    <row r="61" spans="1:25" ht="20.25" customHeight="1">
      <c r="A61" s="255" t="s">
        <v>311</v>
      </c>
      <c r="B61" s="114">
        <f>6964+8000+8100</f>
        <v>23064</v>
      </c>
      <c r="C61" s="114">
        <v>0</v>
      </c>
      <c r="D61" s="114">
        <v>0</v>
      </c>
      <c r="E61" s="114">
        <v>0</v>
      </c>
      <c r="F61" s="114">
        <v>0</v>
      </c>
      <c r="G61" s="114"/>
      <c r="H61" s="114"/>
      <c r="I61" s="114"/>
      <c r="J61" s="114"/>
      <c r="K61" s="114"/>
      <c r="L61" s="114"/>
      <c r="M61" s="112">
        <v>0</v>
      </c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27">
        <f t="shared" si="15"/>
        <v>23064</v>
      </c>
    </row>
    <row r="62" spans="1:25" ht="20.25" customHeight="1">
      <c r="A62" s="257" t="s">
        <v>312</v>
      </c>
      <c r="B62" s="114">
        <v>0</v>
      </c>
      <c r="C62" s="114">
        <v>0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2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27">
        <f t="shared" si="15"/>
        <v>0</v>
      </c>
    </row>
    <row r="63" spans="1:25" ht="20.25" customHeight="1">
      <c r="A63" s="257" t="s">
        <v>313</v>
      </c>
      <c r="B63" s="114">
        <f>5500+394+2474+1322+4440+75000+1000+4698+3600+2800+1920</f>
        <v>103148</v>
      </c>
      <c r="C63" s="114">
        <f>7500+7500+4620+4500+4620+1440+362+4698</f>
        <v>35240</v>
      </c>
      <c r="D63" s="114">
        <v>0</v>
      </c>
      <c r="E63" s="114" t="s">
        <v>423</v>
      </c>
      <c r="F63" s="114">
        <v>2880</v>
      </c>
      <c r="G63" s="114">
        <v>0</v>
      </c>
      <c r="H63" s="114">
        <v>0</v>
      </c>
      <c r="I63" s="114">
        <f>98985+490</f>
        <v>99475</v>
      </c>
      <c r="J63" s="114"/>
      <c r="K63" s="114"/>
      <c r="L63" s="114"/>
      <c r="M63" s="112">
        <f>7500+7500+1200</f>
        <v>16200</v>
      </c>
      <c r="N63" s="114"/>
      <c r="O63" s="114"/>
      <c r="P63" s="114">
        <v>0</v>
      </c>
      <c r="Q63" s="114">
        <v>0</v>
      </c>
      <c r="R63" s="114">
        <v>0</v>
      </c>
      <c r="S63" s="114">
        <f>40460+9456</f>
        <v>49916</v>
      </c>
      <c r="T63" s="114">
        <v>5000</v>
      </c>
      <c r="U63" s="114"/>
      <c r="V63" s="114">
        <v>0</v>
      </c>
      <c r="W63" s="114"/>
      <c r="X63" s="114"/>
      <c r="Y63" s="127">
        <f t="shared" si="15"/>
        <v>311859</v>
      </c>
    </row>
    <row r="64" spans="1:25" ht="20.25" customHeight="1" thickBot="1">
      <c r="A64" s="256" t="s">
        <v>314</v>
      </c>
      <c r="B64" s="114">
        <f>1000</f>
        <v>1000</v>
      </c>
      <c r="C64" s="114">
        <v>0</v>
      </c>
      <c r="D64" s="114">
        <v>0</v>
      </c>
      <c r="E64" s="114"/>
      <c r="F64" s="114">
        <v>0</v>
      </c>
      <c r="G64" s="114"/>
      <c r="H64" s="114"/>
      <c r="I64" s="114"/>
      <c r="J64" s="114"/>
      <c r="K64" s="114"/>
      <c r="L64" s="114"/>
      <c r="M64" s="120">
        <v>0</v>
      </c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27">
        <f t="shared" si="15"/>
        <v>1000</v>
      </c>
    </row>
    <row r="65" spans="1:207" ht="20.25" customHeight="1">
      <c r="A65" s="263" t="s">
        <v>230</v>
      </c>
      <c r="B65" s="116">
        <f t="shared" ref="B65:Y65" si="16">SUM(B61:B64)</f>
        <v>127212</v>
      </c>
      <c r="C65" s="116">
        <f t="shared" si="16"/>
        <v>35240</v>
      </c>
      <c r="D65" s="116">
        <f t="shared" si="16"/>
        <v>0</v>
      </c>
      <c r="E65" s="116">
        <f t="shared" si="16"/>
        <v>0</v>
      </c>
      <c r="F65" s="116">
        <f t="shared" si="16"/>
        <v>2880</v>
      </c>
      <c r="G65" s="116">
        <f t="shared" si="16"/>
        <v>0</v>
      </c>
      <c r="H65" s="116">
        <f t="shared" si="16"/>
        <v>0</v>
      </c>
      <c r="I65" s="116">
        <f t="shared" si="16"/>
        <v>99475</v>
      </c>
      <c r="J65" s="116">
        <f t="shared" si="16"/>
        <v>0</v>
      </c>
      <c r="K65" s="116">
        <f t="shared" si="16"/>
        <v>0</v>
      </c>
      <c r="L65" s="116">
        <f t="shared" si="16"/>
        <v>0</v>
      </c>
      <c r="M65" s="116">
        <f t="shared" si="16"/>
        <v>16200</v>
      </c>
      <c r="N65" s="116">
        <f t="shared" si="16"/>
        <v>0</v>
      </c>
      <c r="O65" s="116">
        <f t="shared" si="16"/>
        <v>0</v>
      </c>
      <c r="P65" s="116">
        <f t="shared" si="16"/>
        <v>0</v>
      </c>
      <c r="Q65" s="116">
        <f t="shared" si="16"/>
        <v>0</v>
      </c>
      <c r="R65" s="116">
        <f t="shared" si="16"/>
        <v>0</v>
      </c>
      <c r="S65" s="116">
        <f t="shared" si="16"/>
        <v>49916</v>
      </c>
      <c r="T65" s="116">
        <f t="shared" si="16"/>
        <v>5000</v>
      </c>
      <c r="U65" s="116">
        <f t="shared" si="16"/>
        <v>0</v>
      </c>
      <c r="V65" s="116">
        <f t="shared" si="16"/>
        <v>0</v>
      </c>
      <c r="W65" s="116">
        <f t="shared" si="16"/>
        <v>0</v>
      </c>
      <c r="X65" s="116">
        <f t="shared" si="16"/>
        <v>0</v>
      </c>
      <c r="Y65" s="118">
        <f t="shared" si="16"/>
        <v>335923</v>
      </c>
    </row>
    <row r="66" spans="1:207" ht="20.25" customHeight="1" thickBot="1">
      <c r="A66" s="264" t="s">
        <v>231</v>
      </c>
      <c r="B66" s="115">
        <f t="shared" ref="B66:R66" si="17">B59+B65</f>
        <v>393564.15999999997</v>
      </c>
      <c r="C66" s="115">
        <f t="shared" si="17"/>
        <v>129460</v>
      </c>
      <c r="D66" s="115">
        <f t="shared" si="17"/>
        <v>75220</v>
      </c>
      <c r="E66" s="115">
        <f t="shared" si="17"/>
        <v>3920</v>
      </c>
      <c r="F66" s="115">
        <f t="shared" si="17"/>
        <v>19550</v>
      </c>
      <c r="G66" s="115">
        <f t="shared" si="17"/>
        <v>496000</v>
      </c>
      <c r="H66" s="115">
        <f t="shared" si="17"/>
        <v>0</v>
      </c>
      <c r="I66" s="115">
        <f t="shared" si="17"/>
        <v>99475</v>
      </c>
      <c r="J66" s="115">
        <f t="shared" si="17"/>
        <v>0</v>
      </c>
      <c r="K66" s="115">
        <f t="shared" si="17"/>
        <v>0</v>
      </c>
      <c r="L66" s="115">
        <f t="shared" si="17"/>
        <v>0</v>
      </c>
      <c r="M66" s="115">
        <f t="shared" si="17"/>
        <v>84327.8</v>
      </c>
      <c r="N66" s="115">
        <f t="shared" si="17"/>
        <v>0</v>
      </c>
      <c r="O66" s="115">
        <f t="shared" si="17"/>
        <v>0</v>
      </c>
      <c r="P66" s="115">
        <f t="shared" si="17"/>
        <v>0</v>
      </c>
      <c r="Q66" s="115">
        <f t="shared" si="17"/>
        <v>0</v>
      </c>
      <c r="R66" s="115">
        <f t="shared" si="17"/>
        <v>0</v>
      </c>
      <c r="S66" s="115">
        <f>+S59+S65</f>
        <v>49916</v>
      </c>
      <c r="T66" s="115">
        <f t="shared" ref="T66:Y66" si="18">T59+T65</f>
        <v>129310</v>
      </c>
      <c r="U66" s="115">
        <f t="shared" si="18"/>
        <v>0</v>
      </c>
      <c r="V66" s="115">
        <f t="shared" si="18"/>
        <v>4800</v>
      </c>
      <c r="W66" s="115">
        <f t="shared" si="18"/>
        <v>0</v>
      </c>
      <c r="X66" s="115">
        <f t="shared" si="18"/>
        <v>0</v>
      </c>
      <c r="Y66" s="122">
        <f t="shared" si="18"/>
        <v>1485542.96</v>
      </c>
    </row>
    <row r="67" spans="1:207" s="112" customFormat="1" ht="20.25" customHeight="1">
      <c r="A67" s="267" t="s">
        <v>55</v>
      </c>
      <c r="B67" s="109">
        <v>94965</v>
      </c>
      <c r="C67" s="114">
        <v>15190</v>
      </c>
      <c r="D67" s="125">
        <v>49600</v>
      </c>
      <c r="E67" s="125">
        <v>0</v>
      </c>
      <c r="F67" s="109">
        <v>19475</v>
      </c>
      <c r="G67" s="109"/>
      <c r="H67" s="109"/>
      <c r="I67" s="125"/>
      <c r="J67" s="128"/>
      <c r="K67" s="128"/>
      <c r="L67" s="128"/>
      <c r="M67" s="128">
        <v>162440</v>
      </c>
      <c r="N67" s="125"/>
      <c r="O67" s="125"/>
      <c r="P67" s="125"/>
      <c r="Q67" s="125"/>
      <c r="R67" s="125"/>
      <c r="S67" s="125">
        <v>0</v>
      </c>
      <c r="T67" s="125"/>
      <c r="U67" s="125"/>
      <c r="V67" s="125">
        <v>10115</v>
      </c>
      <c r="W67" s="125">
        <v>86815</v>
      </c>
      <c r="X67" s="125"/>
      <c r="Y67" s="121">
        <f t="shared" ref="Y67:Y82" si="19">SUM(B67:X67)</f>
        <v>438600</v>
      </c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19"/>
      <c r="GE67" s="119"/>
      <c r="GF67" s="119"/>
      <c r="GG67" s="119"/>
      <c r="GH67" s="119"/>
      <c r="GI67" s="119"/>
      <c r="GJ67" s="119"/>
      <c r="GK67" s="119"/>
      <c r="GL67" s="119"/>
      <c r="GM67" s="119"/>
      <c r="GN67" s="119"/>
      <c r="GO67" s="119"/>
      <c r="GP67" s="119"/>
      <c r="GQ67" s="119"/>
      <c r="GR67" s="119"/>
      <c r="GS67" s="119"/>
      <c r="GT67" s="119"/>
      <c r="GU67" s="119"/>
      <c r="GV67" s="119"/>
      <c r="GW67" s="119"/>
      <c r="GX67" s="119"/>
      <c r="GY67" s="119"/>
    </row>
    <row r="68" spans="1:207" s="112" customFormat="1" ht="20.25" customHeight="1">
      <c r="A68" s="266">
        <v>533000</v>
      </c>
      <c r="B68" s="124"/>
      <c r="C68" s="124"/>
      <c r="D68" s="124"/>
      <c r="E68" s="124"/>
      <c r="F68" s="124"/>
      <c r="G68" s="124"/>
      <c r="H68" s="124"/>
      <c r="I68" s="124"/>
      <c r="J68" s="128"/>
      <c r="K68" s="128"/>
      <c r="L68" s="128"/>
      <c r="M68" s="128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1">
        <f t="shared" si="19"/>
        <v>0</v>
      </c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F68" s="119"/>
      <c r="GG68" s="119"/>
      <c r="GH68" s="119"/>
      <c r="GI68" s="119"/>
      <c r="GJ68" s="119"/>
      <c r="GK68" s="119"/>
      <c r="GL68" s="119"/>
      <c r="GM68" s="119"/>
      <c r="GN68" s="119"/>
      <c r="GO68" s="119"/>
      <c r="GP68" s="119"/>
      <c r="GQ68" s="119"/>
      <c r="GR68" s="119"/>
      <c r="GS68" s="119"/>
      <c r="GT68" s="119"/>
      <c r="GU68" s="119"/>
      <c r="GV68" s="119"/>
      <c r="GW68" s="119"/>
      <c r="GX68" s="119"/>
      <c r="GY68" s="119"/>
    </row>
    <row r="69" spans="1:207" s="112" customFormat="1" ht="20.25" customHeight="1">
      <c r="A69" s="255" t="s">
        <v>315</v>
      </c>
      <c r="B69" s="114">
        <v>0</v>
      </c>
      <c r="C69" s="114">
        <v>0</v>
      </c>
      <c r="D69" s="124"/>
      <c r="E69" s="124"/>
      <c r="F69" s="114">
        <v>0</v>
      </c>
      <c r="G69" s="114"/>
      <c r="H69" s="124"/>
      <c r="I69" s="124"/>
      <c r="J69" s="128"/>
      <c r="K69" s="128"/>
      <c r="L69" s="128"/>
      <c r="M69" s="128">
        <v>0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1">
        <f t="shared" si="19"/>
        <v>0</v>
      </c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F69" s="119"/>
      <c r="GG69" s="119"/>
      <c r="GH69" s="119"/>
      <c r="GI69" s="119"/>
      <c r="GJ69" s="119"/>
      <c r="GK69" s="119"/>
      <c r="GL69" s="119"/>
      <c r="GM69" s="119"/>
      <c r="GN69" s="119"/>
      <c r="GO69" s="119"/>
      <c r="GP69" s="119"/>
      <c r="GQ69" s="119"/>
      <c r="GR69" s="119"/>
      <c r="GS69" s="119"/>
      <c r="GT69" s="119"/>
      <c r="GU69" s="119"/>
      <c r="GV69" s="119"/>
      <c r="GW69" s="119"/>
      <c r="GX69" s="119"/>
      <c r="GY69" s="119"/>
    </row>
    <row r="70" spans="1:207" s="112" customFormat="1" ht="19.5">
      <c r="A70" s="257" t="s">
        <v>316</v>
      </c>
      <c r="B70" s="114">
        <v>0</v>
      </c>
      <c r="C70" s="114">
        <v>0</v>
      </c>
      <c r="D70" s="124"/>
      <c r="E70" s="124"/>
      <c r="F70" s="114"/>
      <c r="G70" s="114"/>
      <c r="H70" s="114"/>
      <c r="I70" s="124"/>
      <c r="J70" s="128"/>
      <c r="K70" s="128"/>
      <c r="L70" s="128"/>
      <c r="M70" s="128">
        <v>0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1">
        <f t="shared" si="19"/>
        <v>0</v>
      </c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A70" s="119"/>
      <c r="GB70" s="119"/>
      <c r="GC70" s="119"/>
      <c r="GD70" s="119"/>
      <c r="GE70" s="119"/>
      <c r="GF70" s="119"/>
      <c r="GG70" s="119"/>
      <c r="GH70" s="119"/>
      <c r="GI70" s="119"/>
      <c r="GJ70" s="119"/>
      <c r="GK70" s="119"/>
      <c r="GL70" s="119"/>
      <c r="GM70" s="119"/>
      <c r="GN70" s="119"/>
      <c r="GO70" s="119"/>
      <c r="GP70" s="119"/>
      <c r="GQ70" s="119"/>
      <c r="GR70" s="119"/>
      <c r="GS70" s="119"/>
      <c r="GT70" s="119"/>
      <c r="GU70" s="119"/>
      <c r="GV70" s="119"/>
      <c r="GW70" s="119"/>
      <c r="GX70" s="119"/>
      <c r="GY70" s="119"/>
    </row>
    <row r="71" spans="1:207" s="112" customFormat="1" ht="19.5">
      <c r="A71" s="257" t="s">
        <v>317</v>
      </c>
      <c r="B71" s="114">
        <v>0</v>
      </c>
      <c r="C71" s="114"/>
      <c r="D71" s="124"/>
      <c r="E71" s="124">
        <v>0</v>
      </c>
      <c r="F71" s="114">
        <v>0</v>
      </c>
      <c r="G71" s="114">
        <v>0</v>
      </c>
      <c r="H71" s="114"/>
      <c r="I71" s="124"/>
      <c r="J71" s="128"/>
      <c r="K71" s="128"/>
      <c r="L71" s="128"/>
      <c r="M71" s="128">
        <v>0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11">
        <f t="shared" si="19"/>
        <v>0</v>
      </c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A71" s="119"/>
      <c r="GB71" s="119"/>
      <c r="GC71" s="119"/>
      <c r="GD71" s="119"/>
      <c r="GE71" s="119"/>
      <c r="GF71" s="119"/>
      <c r="GG71" s="119"/>
      <c r="GH71" s="119"/>
      <c r="GI71" s="119"/>
      <c r="GJ71" s="119"/>
      <c r="GK71" s="119"/>
      <c r="GL71" s="119"/>
      <c r="GM71" s="119"/>
      <c r="GN71" s="119"/>
      <c r="GO71" s="119"/>
      <c r="GP71" s="119"/>
      <c r="GQ71" s="119"/>
      <c r="GR71" s="119"/>
      <c r="GS71" s="119"/>
      <c r="GT71" s="119"/>
      <c r="GU71" s="119"/>
      <c r="GV71" s="119"/>
      <c r="GW71" s="119"/>
      <c r="GX71" s="119"/>
      <c r="GY71" s="119"/>
    </row>
    <row r="72" spans="1:207" s="112" customFormat="1" ht="20.25" customHeight="1">
      <c r="A72" s="257" t="s">
        <v>319</v>
      </c>
      <c r="B72" s="114">
        <v>0</v>
      </c>
      <c r="C72" s="114"/>
      <c r="D72" s="124"/>
      <c r="E72" s="124"/>
      <c r="F72" s="114"/>
      <c r="G72" s="114"/>
      <c r="H72" s="114"/>
      <c r="I72" s="124"/>
      <c r="J72" s="128"/>
      <c r="K72" s="128"/>
      <c r="L72" s="128"/>
      <c r="M72" s="128">
        <v>90000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>
        <v>0</v>
      </c>
      <c r="X72" s="124"/>
      <c r="Y72" s="111">
        <f t="shared" si="19"/>
        <v>90000</v>
      </c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19"/>
      <c r="GQ72" s="119"/>
      <c r="GR72" s="119"/>
      <c r="GS72" s="119"/>
      <c r="GT72" s="119"/>
      <c r="GU72" s="119"/>
      <c r="GV72" s="119"/>
      <c r="GW72" s="119"/>
      <c r="GX72" s="119"/>
      <c r="GY72" s="119"/>
    </row>
    <row r="73" spans="1:207" s="112" customFormat="1" ht="20.25" customHeight="1">
      <c r="A73" s="257" t="s">
        <v>320</v>
      </c>
      <c r="B73" s="114">
        <v>0</v>
      </c>
      <c r="C73" s="114">
        <v>0</v>
      </c>
      <c r="D73" s="124">
        <v>0</v>
      </c>
      <c r="E73" s="124"/>
      <c r="F73" s="114"/>
      <c r="G73" s="114"/>
      <c r="H73" s="114"/>
      <c r="I73" s="124"/>
      <c r="J73" s="128"/>
      <c r="K73" s="128">
        <v>0</v>
      </c>
      <c r="L73" s="128"/>
      <c r="M73" s="128">
        <v>0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11">
        <f t="shared" si="19"/>
        <v>0</v>
      </c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19"/>
      <c r="DF73" s="119"/>
      <c r="DG73" s="119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19"/>
      <c r="FG73" s="119"/>
      <c r="FH73" s="119"/>
      <c r="FI73" s="119"/>
      <c r="FJ73" s="119"/>
      <c r="FK73" s="119"/>
      <c r="FL73" s="119"/>
      <c r="FM73" s="119"/>
      <c r="FN73" s="119"/>
      <c r="FO73" s="119"/>
      <c r="FP73" s="119"/>
      <c r="FQ73" s="119"/>
      <c r="FR73" s="119"/>
      <c r="FS73" s="119"/>
      <c r="FT73" s="119"/>
      <c r="FU73" s="119"/>
      <c r="FV73" s="119"/>
      <c r="FW73" s="119"/>
      <c r="FX73" s="119"/>
      <c r="FY73" s="119"/>
      <c r="FZ73" s="119"/>
      <c r="GA73" s="119"/>
      <c r="GB73" s="119"/>
      <c r="GC73" s="119"/>
      <c r="GD73" s="119"/>
      <c r="GE73" s="119"/>
      <c r="GF73" s="119"/>
      <c r="GG73" s="119"/>
      <c r="GH73" s="119"/>
      <c r="GI73" s="119"/>
      <c r="GJ73" s="119"/>
      <c r="GK73" s="119"/>
      <c r="GL73" s="119"/>
      <c r="GM73" s="119"/>
      <c r="GN73" s="119"/>
      <c r="GO73" s="119"/>
      <c r="GP73" s="119"/>
      <c r="GQ73" s="119"/>
      <c r="GR73" s="119"/>
      <c r="GS73" s="119"/>
      <c r="GT73" s="119"/>
      <c r="GU73" s="119"/>
      <c r="GV73" s="119"/>
      <c r="GW73" s="119"/>
      <c r="GX73" s="119"/>
      <c r="GY73" s="119"/>
    </row>
    <row r="74" spans="1:207" s="112" customFormat="1" ht="19.5">
      <c r="A74" s="257" t="s">
        <v>321</v>
      </c>
      <c r="B74" s="114">
        <v>0</v>
      </c>
      <c r="C74" s="114">
        <v>0</v>
      </c>
      <c r="D74" s="124">
        <v>0</v>
      </c>
      <c r="E74" s="124"/>
      <c r="F74" s="114"/>
      <c r="G74" s="114"/>
      <c r="H74" s="124"/>
      <c r="I74" s="124"/>
      <c r="J74" s="128"/>
      <c r="K74" s="128"/>
      <c r="L74" s="128"/>
      <c r="M74" s="128">
        <v>0</v>
      </c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11">
        <f t="shared" si="19"/>
        <v>0</v>
      </c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19"/>
      <c r="GV74" s="119"/>
      <c r="GW74" s="119"/>
      <c r="GX74" s="119"/>
      <c r="GY74" s="119"/>
    </row>
    <row r="75" spans="1:207" s="112" customFormat="1" ht="19.5">
      <c r="A75" s="257" t="s">
        <v>322</v>
      </c>
      <c r="B75" s="114"/>
      <c r="C75" s="114"/>
      <c r="D75" s="129"/>
      <c r="E75" s="129"/>
      <c r="F75" s="114"/>
      <c r="G75" s="114"/>
      <c r="H75" s="129"/>
      <c r="I75" s="129"/>
      <c r="J75" s="128"/>
      <c r="K75" s="128"/>
      <c r="L75" s="128"/>
      <c r="M75" s="128"/>
      <c r="N75" s="129"/>
      <c r="O75" s="129"/>
      <c r="P75" s="129"/>
      <c r="Q75" s="129"/>
      <c r="R75" s="129"/>
      <c r="S75" s="129"/>
      <c r="T75" s="129"/>
      <c r="U75" s="129"/>
      <c r="V75" s="129">
        <v>5000</v>
      </c>
      <c r="W75" s="129">
        <v>0</v>
      </c>
      <c r="X75" s="129"/>
      <c r="Y75" s="111">
        <f t="shared" si="19"/>
        <v>5000</v>
      </c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</row>
    <row r="76" spans="1:207" s="112" customFormat="1" ht="20.25" customHeight="1">
      <c r="A76" s="257" t="s">
        <v>323</v>
      </c>
      <c r="B76" s="114">
        <v>7800</v>
      </c>
      <c r="C76" s="114"/>
      <c r="D76" s="129"/>
      <c r="E76" s="129"/>
      <c r="F76" s="114"/>
      <c r="G76" s="114"/>
      <c r="H76" s="129"/>
      <c r="I76" s="129"/>
      <c r="J76" s="128"/>
      <c r="K76" s="128"/>
      <c r="L76" s="128"/>
      <c r="M76" s="128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11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  <c r="GG76" s="119"/>
      <c r="GH76" s="119"/>
      <c r="GI76" s="119"/>
      <c r="GJ76" s="119"/>
      <c r="GK76" s="119"/>
      <c r="GL76" s="119"/>
      <c r="GM76" s="119"/>
      <c r="GN76" s="119"/>
      <c r="GO76" s="119"/>
      <c r="GP76" s="119"/>
      <c r="GQ76" s="119"/>
      <c r="GR76" s="119"/>
      <c r="GS76" s="119"/>
      <c r="GT76" s="119"/>
      <c r="GU76" s="119"/>
      <c r="GV76" s="119"/>
      <c r="GW76" s="119"/>
      <c r="GX76" s="119"/>
      <c r="GY76" s="119"/>
    </row>
    <row r="77" spans="1:207" s="112" customFormat="1" ht="20.25" customHeight="1">
      <c r="A77" s="257" t="s">
        <v>324</v>
      </c>
      <c r="B77" s="114"/>
      <c r="C77" s="114"/>
      <c r="D77" s="129"/>
      <c r="E77" s="129"/>
      <c r="F77" s="114"/>
      <c r="G77" s="114"/>
      <c r="H77" s="129"/>
      <c r="I77" s="129"/>
      <c r="J77" s="128"/>
      <c r="K77" s="128"/>
      <c r="L77" s="128"/>
      <c r="M77" s="128"/>
      <c r="N77" s="129"/>
      <c r="O77" s="129"/>
      <c r="P77" s="129"/>
      <c r="Q77" s="129"/>
      <c r="R77" s="129"/>
      <c r="S77" s="129">
        <v>0</v>
      </c>
      <c r="T77" s="129"/>
      <c r="U77" s="129"/>
      <c r="V77" s="129"/>
      <c r="W77" s="129"/>
      <c r="X77" s="129"/>
      <c r="Y77" s="111">
        <f t="shared" si="19"/>
        <v>0</v>
      </c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  <c r="GG77" s="119"/>
      <c r="GH77" s="119"/>
      <c r="GI77" s="119"/>
      <c r="GJ77" s="119"/>
      <c r="GK77" s="119"/>
      <c r="GL77" s="119"/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</row>
    <row r="78" spans="1:207" s="112" customFormat="1" ht="20.25" customHeight="1">
      <c r="A78" s="257" t="s">
        <v>325</v>
      </c>
      <c r="B78" s="114">
        <v>0</v>
      </c>
      <c r="C78" s="114">
        <v>0</v>
      </c>
      <c r="D78" s="129"/>
      <c r="E78" s="129"/>
      <c r="F78" s="114">
        <v>0</v>
      </c>
      <c r="G78" s="114"/>
      <c r="H78" s="129"/>
      <c r="I78" s="129"/>
      <c r="J78" s="128"/>
      <c r="K78" s="128"/>
      <c r="L78" s="128"/>
      <c r="M78" s="128">
        <v>0</v>
      </c>
      <c r="N78" s="129"/>
      <c r="O78" s="129"/>
      <c r="P78" s="129"/>
      <c r="Q78" s="129"/>
      <c r="R78" s="129"/>
      <c r="S78" s="129">
        <v>0</v>
      </c>
      <c r="T78" s="129"/>
      <c r="U78" s="129"/>
      <c r="V78" s="129"/>
      <c r="W78" s="129"/>
      <c r="X78" s="129"/>
      <c r="Y78" s="111">
        <f t="shared" si="19"/>
        <v>0</v>
      </c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  <c r="EZ78" s="119"/>
      <c r="FA78" s="119"/>
      <c r="FB78" s="119"/>
      <c r="FC78" s="119"/>
      <c r="FD78" s="119"/>
      <c r="FE78" s="119"/>
      <c r="FF78" s="119"/>
      <c r="FG78" s="119"/>
      <c r="FH78" s="119"/>
      <c r="FI78" s="119"/>
      <c r="FJ78" s="119"/>
      <c r="FK78" s="119"/>
      <c r="FL78" s="119"/>
      <c r="FM78" s="119"/>
      <c r="FN78" s="119"/>
      <c r="FO78" s="119"/>
      <c r="FP78" s="119"/>
      <c r="FQ78" s="119"/>
      <c r="FR78" s="119"/>
      <c r="FS78" s="119"/>
      <c r="FT78" s="119"/>
      <c r="FU78" s="119"/>
      <c r="FV78" s="119"/>
      <c r="FW78" s="119"/>
      <c r="FX78" s="119"/>
      <c r="FY78" s="119"/>
      <c r="FZ78" s="119"/>
      <c r="GA78" s="119"/>
      <c r="GB78" s="119"/>
      <c r="GC78" s="119"/>
      <c r="GD78" s="119"/>
      <c r="GE78" s="119"/>
      <c r="GF78" s="119"/>
      <c r="GG78" s="119"/>
      <c r="GH78" s="119"/>
      <c r="GI78" s="119"/>
      <c r="GJ78" s="119"/>
      <c r="GK78" s="119"/>
      <c r="GL78" s="119"/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</row>
    <row r="79" spans="1:207" s="112" customFormat="1" ht="20.25" customHeight="1">
      <c r="A79" s="257" t="s">
        <v>326</v>
      </c>
      <c r="B79" s="114">
        <v>0</v>
      </c>
      <c r="C79" s="114">
        <v>0</v>
      </c>
      <c r="D79" s="129"/>
      <c r="E79" s="129"/>
      <c r="F79" s="114"/>
      <c r="G79" s="114">
        <v>0</v>
      </c>
      <c r="H79" s="129">
        <v>0</v>
      </c>
      <c r="I79" s="129"/>
      <c r="J79" s="129"/>
      <c r="K79" s="129"/>
      <c r="L79" s="129"/>
      <c r="M79" s="128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11">
        <f t="shared" si="19"/>
        <v>0</v>
      </c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19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19"/>
      <c r="FV79" s="119"/>
      <c r="FW79" s="119"/>
      <c r="FX79" s="119"/>
      <c r="FY79" s="119"/>
      <c r="FZ79" s="119"/>
      <c r="GA79" s="119"/>
      <c r="GB79" s="119"/>
      <c r="GC79" s="119"/>
      <c r="GD79" s="119"/>
      <c r="GE79" s="119"/>
      <c r="GF79" s="119"/>
      <c r="GG79" s="119"/>
      <c r="GH79" s="119"/>
      <c r="GI79" s="119"/>
      <c r="GJ79" s="119"/>
      <c r="GK79" s="119"/>
      <c r="GL79" s="119"/>
      <c r="GM79" s="119"/>
      <c r="GN79" s="119"/>
      <c r="GO79" s="119"/>
      <c r="GP79" s="119"/>
      <c r="GQ79" s="119"/>
      <c r="GR79" s="119"/>
      <c r="GS79" s="119"/>
      <c r="GT79" s="119"/>
      <c r="GU79" s="119"/>
      <c r="GV79" s="119"/>
      <c r="GW79" s="119"/>
      <c r="GX79" s="119"/>
      <c r="GY79" s="119"/>
    </row>
    <row r="80" spans="1:207" s="112" customFormat="1" ht="20.25" customHeight="1" thickBot="1">
      <c r="A80" s="258" t="s">
        <v>327</v>
      </c>
      <c r="B80" s="114"/>
      <c r="C80" s="114"/>
      <c r="D80" s="129">
        <v>0</v>
      </c>
      <c r="E80" s="129">
        <v>0</v>
      </c>
      <c r="F80" s="114">
        <v>0</v>
      </c>
      <c r="G80" s="114"/>
      <c r="H80" s="129"/>
      <c r="I80" s="129"/>
      <c r="J80" s="129"/>
      <c r="K80" s="129"/>
      <c r="L80" s="129">
        <v>0</v>
      </c>
      <c r="M80" s="128">
        <v>0</v>
      </c>
      <c r="N80" s="129"/>
      <c r="O80" s="129"/>
      <c r="P80" s="129"/>
      <c r="Q80" s="129"/>
      <c r="R80" s="129"/>
      <c r="S80" s="129"/>
      <c r="T80" s="129"/>
      <c r="U80" s="129"/>
      <c r="V80" s="129"/>
      <c r="W80" s="129">
        <v>0</v>
      </c>
      <c r="X80" s="129"/>
      <c r="Y80" s="111">
        <f t="shared" si="19"/>
        <v>0</v>
      </c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  <c r="EZ80" s="119"/>
      <c r="FA80" s="119"/>
      <c r="FB80" s="119"/>
      <c r="FC80" s="119"/>
      <c r="FD80" s="119"/>
      <c r="FE80" s="119"/>
      <c r="FF80" s="119"/>
      <c r="FG80" s="119"/>
      <c r="FH80" s="119"/>
      <c r="FI80" s="119"/>
      <c r="FJ80" s="119"/>
      <c r="FK80" s="119"/>
      <c r="FL80" s="119"/>
      <c r="FM80" s="119"/>
      <c r="FN80" s="119"/>
      <c r="FO80" s="119"/>
      <c r="FP80" s="119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119"/>
      <c r="GF80" s="119"/>
      <c r="GG80" s="119"/>
      <c r="GH80" s="119"/>
      <c r="GI80" s="119"/>
      <c r="GJ80" s="119"/>
      <c r="GK80" s="119"/>
      <c r="GL80" s="119"/>
      <c r="GM80" s="119"/>
      <c r="GN80" s="119"/>
      <c r="GO80" s="119"/>
      <c r="GP80" s="119"/>
      <c r="GQ80" s="119"/>
      <c r="GR80" s="119"/>
      <c r="GS80" s="119"/>
      <c r="GT80" s="119"/>
      <c r="GU80" s="119"/>
      <c r="GV80" s="119"/>
      <c r="GW80" s="119"/>
      <c r="GX80" s="119"/>
      <c r="GY80" s="119"/>
    </row>
    <row r="81" spans="1:207" s="112" customFormat="1" ht="20.25" customHeight="1">
      <c r="A81" s="263" t="s">
        <v>230</v>
      </c>
      <c r="B81" s="116">
        <f>SUM(B68:B80)</f>
        <v>7800</v>
      </c>
      <c r="C81" s="116">
        <f t="shared" ref="C81:X81" si="20">SUM(C69:C80)</f>
        <v>0</v>
      </c>
      <c r="D81" s="116">
        <f t="shared" si="20"/>
        <v>0</v>
      </c>
      <c r="E81" s="116">
        <f t="shared" si="20"/>
        <v>0</v>
      </c>
      <c r="F81" s="116">
        <f t="shared" si="20"/>
        <v>0</v>
      </c>
      <c r="G81" s="116">
        <f t="shared" si="20"/>
        <v>0</v>
      </c>
      <c r="H81" s="116">
        <f t="shared" si="20"/>
        <v>0</v>
      </c>
      <c r="I81" s="116">
        <f t="shared" si="20"/>
        <v>0</v>
      </c>
      <c r="J81" s="116">
        <f t="shared" si="20"/>
        <v>0</v>
      </c>
      <c r="K81" s="116">
        <f t="shared" si="20"/>
        <v>0</v>
      </c>
      <c r="L81" s="116">
        <f t="shared" si="20"/>
        <v>0</v>
      </c>
      <c r="M81" s="116">
        <f t="shared" si="20"/>
        <v>90000</v>
      </c>
      <c r="N81" s="116">
        <f t="shared" si="20"/>
        <v>0</v>
      </c>
      <c r="O81" s="116">
        <f t="shared" si="20"/>
        <v>0</v>
      </c>
      <c r="P81" s="116">
        <f t="shared" si="20"/>
        <v>0</v>
      </c>
      <c r="Q81" s="116">
        <f t="shared" si="20"/>
        <v>0</v>
      </c>
      <c r="R81" s="116">
        <f t="shared" si="20"/>
        <v>0</v>
      </c>
      <c r="S81" s="116">
        <f t="shared" si="20"/>
        <v>0</v>
      </c>
      <c r="T81" s="116">
        <f t="shared" si="20"/>
        <v>0</v>
      </c>
      <c r="U81" s="116">
        <f t="shared" si="20"/>
        <v>0</v>
      </c>
      <c r="V81" s="116">
        <f t="shared" si="20"/>
        <v>5000</v>
      </c>
      <c r="W81" s="116">
        <f t="shared" si="20"/>
        <v>0</v>
      </c>
      <c r="X81" s="116">
        <f t="shared" si="20"/>
        <v>0</v>
      </c>
      <c r="Y81" s="118">
        <f t="shared" si="19"/>
        <v>102800</v>
      </c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119"/>
      <c r="DN81" s="119"/>
      <c r="DO81" s="119"/>
      <c r="DP81" s="119"/>
      <c r="DQ81" s="119"/>
      <c r="DR81" s="119"/>
      <c r="DS81" s="119"/>
      <c r="DT81" s="119"/>
      <c r="DU81" s="119"/>
      <c r="DV81" s="119"/>
      <c r="DW81" s="119"/>
      <c r="DX81" s="119"/>
      <c r="DY81" s="119"/>
      <c r="DZ81" s="119"/>
      <c r="EA81" s="119"/>
      <c r="EB81" s="119"/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119"/>
      <c r="EZ81" s="119"/>
      <c r="FA81" s="119"/>
      <c r="FB81" s="119"/>
      <c r="FC81" s="119"/>
      <c r="FD81" s="119"/>
      <c r="FE81" s="119"/>
      <c r="FF81" s="119"/>
      <c r="FG81" s="119"/>
      <c r="FH81" s="119"/>
      <c r="FI81" s="119"/>
      <c r="FJ81" s="119"/>
      <c r="FK81" s="119"/>
      <c r="FL81" s="119"/>
      <c r="FM81" s="119"/>
      <c r="FN81" s="119"/>
      <c r="FO81" s="119"/>
      <c r="FP81" s="119"/>
      <c r="FQ81" s="119"/>
      <c r="FR81" s="119"/>
      <c r="FS81" s="119"/>
      <c r="FT81" s="119"/>
      <c r="FU81" s="119"/>
      <c r="FV81" s="119"/>
      <c r="FW81" s="119"/>
      <c r="FX81" s="119"/>
      <c r="FY81" s="119"/>
      <c r="FZ81" s="119"/>
      <c r="GA81" s="119"/>
      <c r="GB81" s="119"/>
      <c r="GC81" s="119"/>
      <c r="GD81" s="119"/>
      <c r="GE81" s="119"/>
      <c r="GF81" s="119"/>
      <c r="GG81" s="119"/>
      <c r="GH81" s="119"/>
      <c r="GI81" s="119"/>
      <c r="GJ81" s="119"/>
      <c r="GK81" s="119"/>
      <c r="GL81" s="119"/>
      <c r="GM81" s="119"/>
      <c r="GN81" s="119"/>
      <c r="GO81" s="119"/>
      <c r="GP81" s="119"/>
      <c r="GQ81" s="119"/>
      <c r="GR81" s="119"/>
      <c r="GS81" s="119"/>
      <c r="GT81" s="119"/>
      <c r="GU81" s="119"/>
      <c r="GV81" s="119"/>
      <c r="GW81" s="119"/>
      <c r="GX81" s="119"/>
      <c r="GY81" s="119"/>
    </row>
    <row r="82" spans="1:207" s="112" customFormat="1" ht="20.25" customHeight="1" thickBot="1">
      <c r="A82" s="264" t="s">
        <v>231</v>
      </c>
      <c r="B82" s="115">
        <f t="shared" ref="B82:X82" si="21">B81+B67</f>
        <v>102765</v>
      </c>
      <c r="C82" s="115">
        <f t="shared" si="21"/>
        <v>15190</v>
      </c>
      <c r="D82" s="115">
        <f t="shared" si="21"/>
        <v>49600</v>
      </c>
      <c r="E82" s="115">
        <f t="shared" si="21"/>
        <v>0</v>
      </c>
      <c r="F82" s="115">
        <f t="shared" si="21"/>
        <v>19475</v>
      </c>
      <c r="G82" s="115">
        <f t="shared" si="21"/>
        <v>0</v>
      </c>
      <c r="H82" s="115">
        <f t="shared" si="21"/>
        <v>0</v>
      </c>
      <c r="I82" s="115">
        <f t="shared" si="21"/>
        <v>0</v>
      </c>
      <c r="J82" s="115">
        <f t="shared" si="21"/>
        <v>0</v>
      </c>
      <c r="K82" s="115">
        <f t="shared" si="21"/>
        <v>0</v>
      </c>
      <c r="L82" s="115">
        <f t="shared" si="21"/>
        <v>0</v>
      </c>
      <c r="M82" s="115">
        <f t="shared" si="21"/>
        <v>252440</v>
      </c>
      <c r="N82" s="115">
        <f t="shared" si="21"/>
        <v>0</v>
      </c>
      <c r="O82" s="115">
        <f t="shared" si="21"/>
        <v>0</v>
      </c>
      <c r="P82" s="115">
        <f t="shared" si="21"/>
        <v>0</v>
      </c>
      <c r="Q82" s="115">
        <f t="shared" si="21"/>
        <v>0</v>
      </c>
      <c r="R82" s="115">
        <f t="shared" si="21"/>
        <v>0</v>
      </c>
      <c r="S82" s="115">
        <f t="shared" si="21"/>
        <v>0</v>
      </c>
      <c r="T82" s="115">
        <f t="shared" si="21"/>
        <v>0</v>
      </c>
      <c r="U82" s="115">
        <f t="shared" si="21"/>
        <v>0</v>
      </c>
      <c r="V82" s="115">
        <f t="shared" si="21"/>
        <v>15115</v>
      </c>
      <c r="W82" s="115">
        <f t="shared" si="21"/>
        <v>86815</v>
      </c>
      <c r="X82" s="115">
        <f t="shared" si="21"/>
        <v>0</v>
      </c>
      <c r="Y82" s="122">
        <f t="shared" si="19"/>
        <v>541400</v>
      </c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119"/>
      <c r="DU82" s="119"/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  <c r="EZ82" s="119"/>
      <c r="FA82" s="119"/>
      <c r="FB82" s="119"/>
      <c r="FC82" s="119"/>
      <c r="FD82" s="119"/>
      <c r="FE82" s="119"/>
      <c r="FF82" s="119"/>
      <c r="FG82" s="119"/>
      <c r="FH82" s="119"/>
      <c r="FI82" s="119"/>
      <c r="FJ82" s="119"/>
      <c r="FK82" s="119"/>
      <c r="FL82" s="119"/>
      <c r="FM82" s="119"/>
      <c r="FN82" s="119"/>
      <c r="FO82" s="119"/>
      <c r="FP82" s="119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19"/>
      <c r="GC82" s="119"/>
      <c r="GD82" s="119"/>
      <c r="GE82" s="119"/>
      <c r="GF82" s="119"/>
      <c r="GG82" s="119"/>
      <c r="GH82" s="119"/>
      <c r="GI82" s="119"/>
      <c r="GJ82" s="119"/>
      <c r="GK82" s="119"/>
      <c r="GL82" s="119"/>
      <c r="GM82" s="119"/>
      <c r="GN82" s="119"/>
      <c r="GO82" s="119"/>
      <c r="GP82" s="119"/>
      <c r="GQ82" s="119"/>
      <c r="GR82" s="119"/>
      <c r="GS82" s="119"/>
      <c r="GT82" s="119"/>
      <c r="GU82" s="119"/>
      <c r="GV82" s="119"/>
      <c r="GW82" s="119"/>
      <c r="GX82" s="119"/>
      <c r="GY82" s="119"/>
    </row>
    <row r="83" spans="1:207" s="119" customFormat="1" ht="20.25" customHeight="1">
      <c r="A83" s="145"/>
    </row>
    <row r="84" spans="1:207" s="119" customFormat="1" ht="20.25" customHeight="1">
      <c r="A84" s="145"/>
    </row>
    <row r="85" spans="1:207" ht="20.25" customHeight="1">
      <c r="A85" s="530" t="s">
        <v>190</v>
      </c>
      <c r="B85" s="530"/>
      <c r="C85" s="530"/>
      <c r="D85" s="530"/>
      <c r="E85" s="530"/>
      <c r="F85" s="530"/>
      <c r="G85" s="530"/>
      <c r="H85" s="530"/>
      <c r="I85" s="530"/>
      <c r="J85" s="530"/>
      <c r="K85" s="530"/>
      <c r="L85" s="530"/>
      <c r="M85" s="530"/>
      <c r="N85" s="530"/>
      <c r="O85" s="530"/>
      <c r="P85" s="530"/>
      <c r="Q85" s="530"/>
      <c r="R85" s="530"/>
      <c r="S85" s="530"/>
      <c r="T85" s="530"/>
      <c r="U85" s="530"/>
      <c r="V85" s="530"/>
      <c r="W85" s="530"/>
      <c r="X85" s="530"/>
      <c r="Y85" s="530"/>
    </row>
    <row r="86" spans="1:207" ht="20.25" customHeight="1">
      <c r="A86" s="530" t="s">
        <v>191</v>
      </c>
      <c r="B86" s="530"/>
      <c r="C86" s="530"/>
      <c r="D86" s="530"/>
      <c r="E86" s="530"/>
      <c r="F86" s="530"/>
      <c r="G86" s="530"/>
      <c r="H86" s="530"/>
      <c r="I86" s="530"/>
      <c r="J86" s="530"/>
      <c r="K86" s="530"/>
      <c r="L86" s="530"/>
      <c r="M86" s="530"/>
      <c r="N86" s="530"/>
      <c r="O86" s="530"/>
      <c r="P86" s="530"/>
      <c r="Q86" s="530"/>
      <c r="R86" s="530"/>
      <c r="S86" s="530"/>
      <c r="T86" s="530"/>
      <c r="U86" s="530"/>
      <c r="V86" s="530"/>
      <c r="W86" s="530"/>
      <c r="X86" s="530"/>
      <c r="Y86" s="530"/>
    </row>
    <row r="87" spans="1:207" ht="20.25" customHeight="1" thickBot="1">
      <c r="A87" s="531" t="str">
        <f>A3</f>
        <v>วันที่  31  มีนาคม  2558</v>
      </c>
      <c r="B87" s="531"/>
      <c r="C87" s="531"/>
      <c r="D87" s="531"/>
      <c r="E87" s="531"/>
      <c r="F87" s="531"/>
      <c r="G87" s="531"/>
      <c r="H87" s="531"/>
      <c r="I87" s="531"/>
      <c r="J87" s="531"/>
      <c r="K87" s="531"/>
      <c r="L87" s="531"/>
      <c r="M87" s="531"/>
      <c r="N87" s="531"/>
      <c r="O87" s="531"/>
      <c r="P87" s="531"/>
      <c r="Q87" s="531"/>
      <c r="R87" s="531"/>
      <c r="S87" s="531"/>
      <c r="T87" s="531"/>
      <c r="U87" s="531"/>
      <c r="V87" s="531"/>
      <c r="W87" s="531"/>
      <c r="X87" s="531"/>
      <c r="Y87" s="531"/>
    </row>
    <row r="88" spans="1:207" ht="20.25" customHeight="1">
      <c r="A88" s="263" t="s">
        <v>192</v>
      </c>
      <c r="B88" s="533" t="s">
        <v>193</v>
      </c>
      <c r="C88" s="535"/>
      <c r="D88" s="533" t="s">
        <v>194</v>
      </c>
      <c r="E88" s="535"/>
      <c r="F88" s="533" t="s">
        <v>195</v>
      </c>
      <c r="G88" s="534"/>
      <c r="H88" s="535"/>
      <c r="I88" s="533" t="s">
        <v>196</v>
      </c>
      <c r="J88" s="535"/>
      <c r="K88" s="533" t="s">
        <v>197</v>
      </c>
      <c r="L88" s="535"/>
      <c r="M88" s="533" t="s">
        <v>198</v>
      </c>
      <c r="N88" s="534"/>
      <c r="O88" s="535"/>
      <c r="P88" s="533" t="s">
        <v>199</v>
      </c>
      <c r="Q88" s="535"/>
      <c r="R88" s="533" t="s">
        <v>200</v>
      </c>
      <c r="S88" s="534"/>
      <c r="T88" s="535"/>
      <c r="U88" s="105" t="s">
        <v>201</v>
      </c>
      <c r="V88" s="362"/>
      <c r="W88" s="105" t="s">
        <v>203</v>
      </c>
      <c r="X88" s="105" t="s">
        <v>204</v>
      </c>
      <c r="Y88" s="538" t="s">
        <v>54</v>
      </c>
    </row>
    <row r="89" spans="1:207" ht="20.25" customHeight="1" thickBot="1">
      <c r="A89" s="264" t="s">
        <v>205</v>
      </c>
      <c r="B89" s="107" t="s">
        <v>206</v>
      </c>
      <c r="C89" s="107" t="s">
        <v>207</v>
      </c>
      <c r="D89" s="107" t="s">
        <v>208</v>
      </c>
      <c r="E89" s="107" t="s">
        <v>209</v>
      </c>
      <c r="F89" s="107" t="s">
        <v>210</v>
      </c>
      <c r="G89" s="107" t="s">
        <v>211</v>
      </c>
      <c r="H89" s="107" t="s">
        <v>212</v>
      </c>
      <c r="I89" s="107" t="s">
        <v>213</v>
      </c>
      <c r="J89" s="107" t="s">
        <v>214</v>
      </c>
      <c r="K89" s="107" t="s">
        <v>215</v>
      </c>
      <c r="L89" s="107" t="s">
        <v>216</v>
      </c>
      <c r="M89" s="108" t="s">
        <v>217</v>
      </c>
      <c r="N89" s="107" t="s">
        <v>218</v>
      </c>
      <c r="O89" s="107" t="s">
        <v>219</v>
      </c>
      <c r="P89" s="107" t="s">
        <v>220</v>
      </c>
      <c r="Q89" s="107" t="s">
        <v>221</v>
      </c>
      <c r="R89" s="107" t="s">
        <v>222</v>
      </c>
      <c r="S89" s="107" t="s">
        <v>223</v>
      </c>
      <c r="T89" s="107" t="s">
        <v>224</v>
      </c>
      <c r="U89" s="107" t="s">
        <v>225</v>
      </c>
      <c r="V89" s="107" t="s">
        <v>227</v>
      </c>
      <c r="W89" s="107" t="s">
        <v>228</v>
      </c>
      <c r="X89" s="107" t="s">
        <v>229</v>
      </c>
      <c r="Y89" s="539"/>
    </row>
    <row r="90" spans="1:207" ht="20.25" customHeight="1">
      <c r="A90" s="267" t="s">
        <v>55</v>
      </c>
      <c r="B90" s="109">
        <v>59916.44</v>
      </c>
      <c r="C90" s="109">
        <v>2837</v>
      </c>
      <c r="D90" s="109"/>
      <c r="E90" s="109">
        <v>578.87</v>
      </c>
      <c r="F90" s="109">
        <v>3116.27</v>
      </c>
      <c r="G90" s="109"/>
      <c r="H90" s="109"/>
      <c r="I90" s="109"/>
      <c r="J90" s="109"/>
      <c r="K90" s="109"/>
      <c r="L90" s="109"/>
      <c r="M90" s="109">
        <v>0</v>
      </c>
      <c r="N90" s="109"/>
      <c r="O90" s="109"/>
      <c r="P90" s="109"/>
      <c r="Q90" s="109"/>
      <c r="R90" s="109"/>
      <c r="S90" s="109"/>
      <c r="T90" s="109"/>
      <c r="U90" s="109"/>
      <c r="V90" s="109"/>
      <c r="W90" s="109">
        <v>289900.02</v>
      </c>
      <c r="X90" s="109">
        <v>0</v>
      </c>
      <c r="Y90" s="130">
        <f>SUM(B90:X90)</f>
        <v>356348.60000000003</v>
      </c>
    </row>
    <row r="91" spans="1:207" ht="20.25" customHeight="1">
      <c r="A91" s="266">
        <v>534000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31">
        <f>SUM(B91:X91)</f>
        <v>0</v>
      </c>
    </row>
    <row r="92" spans="1:207" ht="20.25" customHeight="1">
      <c r="A92" s="252" t="s">
        <v>329</v>
      </c>
      <c r="B92" s="112">
        <v>10552.59</v>
      </c>
      <c r="C92" s="112"/>
      <c r="D92" s="112"/>
      <c r="E92" s="112"/>
      <c r="F92" s="112">
        <v>650.29</v>
      </c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>
        <f>54579.55-533</f>
        <v>54046.55</v>
      </c>
      <c r="X92" s="112"/>
      <c r="Y92" s="121">
        <f>SUM(B92:X92)</f>
        <v>65249.430000000008</v>
      </c>
    </row>
    <row r="93" spans="1:207" ht="20.25" customHeight="1">
      <c r="A93" s="254" t="s">
        <v>330</v>
      </c>
      <c r="B93" s="112">
        <v>208.65</v>
      </c>
      <c r="C93" s="112"/>
      <c r="D93" s="112"/>
      <c r="E93" s="112">
        <v>135.88999999999999</v>
      </c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21">
        <f>SUM(B93:X93)</f>
        <v>344.53999999999996</v>
      </c>
    </row>
    <row r="94" spans="1:207" ht="20.25" customHeight="1">
      <c r="A94" s="254" t="s">
        <v>331</v>
      </c>
      <c r="B94" s="109">
        <v>0</v>
      </c>
      <c r="C94" s="109">
        <v>0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12"/>
      <c r="X94" s="112"/>
      <c r="Y94" s="121">
        <f>SUM(B94:X94)</f>
        <v>0</v>
      </c>
    </row>
    <row r="95" spans="1:207" ht="20.25" customHeight="1">
      <c r="A95" s="254" t="s">
        <v>332</v>
      </c>
      <c r="B95" s="109">
        <v>19260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14"/>
      <c r="X95" s="114"/>
      <c r="Y95" s="132"/>
    </row>
    <row r="96" spans="1:207" ht="20.25" customHeight="1" thickBot="1">
      <c r="A96" s="259">
        <v>340800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15"/>
      <c r="X96" s="115"/>
      <c r="Y96" s="133">
        <f>SUM(B96:X96)</f>
        <v>0</v>
      </c>
    </row>
    <row r="97" spans="1:25" ht="20.25" customHeight="1">
      <c r="A97" s="263" t="s">
        <v>230</v>
      </c>
      <c r="B97" s="116">
        <f>SUM(B92:B96)</f>
        <v>30021.239999999998</v>
      </c>
      <c r="C97" s="116">
        <f>SUM(C92:C94)</f>
        <v>0</v>
      </c>
      <c r="D97" s="116">
        <f>SUM(D92:D94)</f>
        <v>0</v>
      </c>
      <c r="E97" s="116">
        <f>SUM(E91:E96)</f>
        <v>135.88999999999999</v>
      </c>
      <c r="F97" s="116">
        <f t="shared" ref="F97:U97" si="22">SUM(F92:F94)</f>
        <v>650.29</v>
      </c>
      <c r="G97" s="116">
        <f t="shared" si="22"/>
        <v>0</v>
      </c>
      <c r="H97" s="116">
        <f t="shared" si="22"/>
        <v>0</v>
      </c>
      <c r="I97" s="116">
        <f t="shared" si="22"/>
        <v>0</v>
      </c>
      <c r="J97" s="116">
        <f t="shared" si="22"/>
        <v>0</v>
      </c>
      <c r="K97" s="116">
        <f t="shared" si="22"/>
        <v>0</v>
      </c>
      <c r="L97" s="116">
        <f t="shared" si="22"/>
        <v>0</v>
      </c>
      <c r="M97" s="116">
        <f t="shared" si="22"/>
        <v>0</v>
      </c>
      <c r="N97" s="116">
        <f t="shared" si="22"/>
        <v>0</v>
      </c>
      <c r="O97" s="116">
        <f t="shared" si="22"/>
        <v>0</v>
      </c>
      <c r="P97" s="116">
        <f t="shared" si="22"/>
        <v>0</v>
      </c>
      <c r="Q97" s="116">
        <f t="shared" si="22"/>
        <v>0</v>
      </c>
      <c r="R97" s="116">
        <f t="shared" si="22"/>
        <v>0</v>
      </c>
      <c r="S97" s="116">
        <f t="shared" si="22"/>
        <v>0</v>
      </c>
      <c r="T97" s="116">
        <f t="shared" si="22"/>
        <v>0</v>
      </c>
      <c r="U97" s="116">
        <f t="shared" si="22"/>
        <v>0</v>
      </c>
      <c r="V97" s="116"/>
      <c r="W97" s="116">
        <f>SUM(W92:W96)</f>
        <v>54046.55</v>
      </c>
      <c r="X97" s="116"/>
      <c r="Y97" s="134">
        <f>SUM(B97:X97)</f>
        <v>84853.97</v>
      </c>
    </row>
    <row r="98" spans="1:25" ht="20.25" customHeight="1" thickBot="1">
      <c r="A98" s="264" t="s">
        <v>231</v>
      </c>
      <c r="B98" s="115">
        <f t="shared" ref="B98:Y98" si="23">B90+B97</f>
        <v>89937.68</v>
      </c>
      <c r="C98" s="115">
        <f t="shared" si="23"/>
        <v>2837</v>
      </c>
      <c r="D98" s="115">
        <f t="shared" si="23"/>
        <v>0</v>
      </c>
      <c r="E98" s="115">
        <f t="shared" si="23"/>
        <v>714.76</v>
      </c>
      <c r="F98" s="115">
        <f t="shared" si="23"/>
        <v>3766.56</v>
      </c>
      <c r="G98" s="115">
        <f t="shared" si="23"/>
        <v>0</v>
      </c>
      <c r="H98" s="115">
        <f t="shared" si="23"/>
        <v>0</v>
      </c>
      <c r="I98" s="115">
        <f t="shared" si="23"/>
        <v>0</v>
      </c>
      <c r="J98" s="115">
        <f t="shared" si="23"/>
        <v>0</v>
      </c>
      <c r="K98" s="115">
        <f t="shared" si="23"/>
        <v>0</v>
      </c>
      <c r="L98" s="115">
        <f t="shared" si="23"/>
        <v>0</v>
      </c>
      <c r="M98" s="115">
        <f t="shared" si="23"/>
        <v>0</v>
      </c>
      <c r="N98" s="115">
        <f t="shared" si="23"/>
        <v>0</v>
      </c>
      <c r="O98" s="115">
        <f t="shared" si="23"/>
        <v>0</v>
      </c>
      <c r="P98" s="115">
        <f t="shared" si="23"/>
        <v>0</v>
      </c>
      <c r="Q98" s="115">
        <f t="shared" si="23"/>
        <v>0</v>
      </c>
      <c r="R98" s="115">
        <f t="shared" si="23"/>
        <v>0</v>
      </c>
      <c r="S98" s="115">
        <f t="shared" si="23"/>
        <v>0</v>
      </c>
      <c r="T98" s="115">
        <f t="shared" si="23"/>
        <v>0</v>
      </c>
      <c r="U98" s="115">
        <f t="shared" si="23"/>
        <v>0</v>
      </c>
      <c r="V98" s="115">
        <f t="shared" si="23"/>
        <v>0</v>
      </c>
      <c r="W98" s="115">
        <f t="shared" si="23"/>
        <v>343946.57</v>
      </c>
      <c r="X98" s="115">
        <f t="shared" si="23"/>
        <v>0</v>
      </c>
      <c r="Y98" s="122">
        <f t="shared" si="23"/>
        <v>441202.57000000007</v>
      </c>
    </row>
    <row r="99" spans="1:25" ht="20.25" customHeight="1">
      <c r="A99" s="273" t="s">
        <v>55</v>
      </c>
      <c r="B99" s="109">
        <v>15200</v>
      </c>
      <c r="C99" s="109">
        <v>0</v>
      </c>
      <c r="D99" s="109">
        <v>23650</v>
      </c>
      <c r="E99" s="109">
        <v>0</v>
      </c>
      <c r="F99" s="109">
        <v>76000</v>
      </c>
      <c r="G99" s="109">
        <v>0</v>
      </c>
      <c r="H99" s="109"/>
      <c r="I99" s="109"/>
      <c r="J99" s="109"/>
      <c r="K99" s="109"/>
      <c r="L99" s="109"/>
      <c r="M99" s="109">
        <v>0</v>
      </c>
      <c r="N99" s="109"/>
      <c r="O99" s="109"/>
      <c r="P99" s="109"/>
      <c r="Q99" s="109"/>
      <c r="R99" s="109">
        <v>0</v>
      </c>
      <c r="S99" s="109">
        <v>0</v>
      </c>
      <c r="T99" s="109">
        <v>0</v>
      </c>
      <c r="U99" s="109">
        <v>0</v>
      </c>
      <c r="V99" s="109">
        <v>0</v>
      </c>
      <c r="W99" s="109">
        <v>0</v>
      </c>
      <c r="X99" s="109">
        <v>0</v>
      </c>
      <c r="Y99" s="131">
        <f t="shared" ref="Y99:Y106" si="24">SUM(B99:X99)</f>
        <v>114850</v>
      </c>
    </row>
    <row r="100" spans="1:25" ht="20.25" customHeight="1">
      <c r="A100" s="266">
        <v>541000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31">
        <f t="shared" si="24"/>
        <v>0</v>
      </c>
    </row>
    <row r="101" spans="1:25" ht="20.25" customHeight="1">
      <c r="A101" s="255" t="s">
        <v>335</v>
      </c>
      <c r="B101" s="112">
        <v>56000</v>
      </c>
      <c r="C101" s="112">
        <v>0</v>
      </c>
      <c r="D101" s="112">
        <v>0</v>
      </c>
      <c r="E101" s="112"/>
      <c r="F101" s="112">
        <v>0</v>
      </c>
      <c r="G101" s="112">
        <v>0</v>
      </c>
      <c r="H101" s="112"/>
      <c r="I101" s="112"/>
      <c r="J101" s="112"/>
      <c r="K101" s="112"/>
      <c r="L101" s="112"/>
      <c r="M101" s="112">
        <v>0</v>
      </c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21">
        <f t="shared" si="24"/>
        <v>56000</v>
      </c>
    </row>
    <row r="102" spans="1:25" ht="20.25" customHeight="1">
      <c r="A102" s="257" t="s">
        <v>336</v>
      </c>
      <c r="B102" s="109">
        <v>0</v>
      </c>
      <c r="C102" s="109"/>
      <c r="D102" s="109">
        <v>0</v>
      </c>
      <c r="E102" s="109"/>
      <c r="F102" s="109"/>
      <c r="G102" s="109"/>
      <c r="H102" s="109"/>
      <c r="I102" s="109"/>
      <c r="J102" s="109"/>
      <c r="K102" s="109"/>
      <c r="L102" s="109"/>
      <c r="M102" s="109">
        <v>0</v>
      </c>
      <c r="N102" s="109"/>
      <c r="O102" s="109"/>
      <c r="P102" s="109"/>
      <c r="Q102" s="109"/>
      <c r="R102" s="109"/>
      <c r="S102" s="109"/>
      <c r="T102" s="109"/>
      <c r="U102" s="109"/>
      <c r="V102" s="109"/>
      <c r="W102" s="114"/>
      <c r="X102" s="109"/>
      <c r="Y102" s="121">
        <f t="shared" si="24"/>
        <v>0</v>
      </c>
    </row>
    <row r="103" spans="1:25" ht="20.25" customHeight="1">
      <c r="A103" s="257" t="s">
        <v>337</v>
      </c>
      <c r="B103" s="109">
        <v>0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14"/>
      <c r="X103" s="109"/>
      <c r="Y103" s="121">
        <f t="shared" si="24"/>
        <v>0</v>
      </c>
    </row>
    <row r="104" spans="1:25" ht="20.25" customHeight="1">
      <c r="A104" s="257" t="s">
        <v>338</v>
      </c>
      <c r="B104" s="109">
        <v>0</v>
      </c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>
        <v>0</v>
      </c>
      <c r="N104" s="109"/>
      <c r="O104" s="109"/>
      <c r="P104" s="109"/>
      <c r="Q104" s="109"/>
      <c r="R104" s="109"/>
      <c r="S104" s="109"/>
      <c r="T104" s="109"/>
      <c r="U104" s="109"/>
      <c r="V104" s="109"/>
      <c r="W104" s="114"/>
      <c r="X104" s="109"/>
      <c r="Y104" s="121">
        <f t="shared" si="24"/>
        <v>0</v>
      </c>
    </row>
    <row r="105" spans="1:25" ht="20.25" customHeight="1">
      <c r="A105" s="257" t="s">
        <v>339</v>
      </c>
      <c r="B105" s="109">
        <v>0</v>
      </c>
      <c r="C105" s="109">
        <v>0</v>
      </c>
      <c r="D105" s="109">
        <v>0</v>
      </c>
      <c r="E105" s="109"/>
      <c r="F105" s="109">
        <v>0</v>
      </c>
      <c r="G105" s="109"/>
      <c r="H105" s="109"/>
      <c r="I105" s="109"/>
      <c r="J105" s="109"/>
      <c r="K105" s="109"/>
      <c r="L105" s="109"/>
      <c r="M105" s="109">
        <v>0</v>
      </c>
      <c r="N105" s="109"/>
      <c r="O105" s="109"/>
      <c r="P105" s="109"/>
      <c r="Q105" s="109"/>
      <c r="R105" s="109"/>
      <c r="S105" s="109"/>
      <c r="T105" s="109"/>
      <c r="U105" s="109"/>
      <c r="V105" s="109"/>
      <c r="W105" s="112"/>
      <c r="X105" s="112"/>
      <c r="Y105" s="121">
        <f t="shared" si="24"/>
        <v>0</v>
      </c>
    </row>
    <row r="106" spans="1:25" ht="20.25" customHeight="1" thickBot="1">
      <c r="A106" s="258" t="s">
        <v>340</v>
      </c>
      <c r="B106" s="109">
        <v>0</v>
      </c>
      <c r="C106" s="109"/>
      <c r="D106" s="109">
        <v>0</v>
      </c>
      <c r="E106" s="109">
        <v>0</v>
      </c>
      <c r="F106" s="109"/>
      <c r="G106" s="109"/>
      <c r="H106" s="109"/>
      <c r="I106" s="109"/>
      <c r="J106" s="109"/>
      <c r="K106" s="109"/>
      <c r="L106" s="109"/>
      <c r="M106" s="109">
        <v>0</v>
      </c>
      <c r="N106" s="109"/>
      <c r="O106" s="109"/>
      <c r="P106" s="109"/>
      <c r="Q106" s="109"/>
      <c r="R106" s="109"/>
      <c r="S106" s="109"/>
      <c r="T106" s="109"/>
      <c r="U106" s="109"/>
      <c r="V106" s="109"/>
      <c r="W106" s="115"/>
      <c r="X106" s="115"/>
      <c r="Y106" s="121">
        <f t="shared" si="24"/>
        <v>0</v>
      </c>
    </row>
    <row r="107" spans="1:25" ht="20.25" customHeight="1">
      <c r="A107" s="263" t="s">
        <v>230</v>
      </c>
      <c r="B107" s="116">
        <f t="shared" ref="B107:Y107" si="25">SUM(B100:B106)</f>
        <v>56000</v>
      </c>
      <c r="C107" s="116">
        <f t="shared" si="25"/>
        <v>0</v>
      </c>
      <c r="D107" s="116">
        <f t="shared" si="25"/>
        <v>0</v>
      </c>
      <c r="E107" s="116">
        <f t="shared" si="25"/>
        <v>0</v>
      </c>
      <c r="F107" s="116">
        <f t="shared" si="25"/>
        <v>0</v>
      </c>
      <c r="G107" s="116">
        <f t="shared" si="25"/>
        <v>0</v>
      </c>
      <c r="H107" s="116">
        <f t="shared" si="25"/>
        <v>0</v>
      </c>
      <c r="I107" s="116">
        <f t="shared" si="25"/>
        <v>0</v>
      </c>
      <c r="J107" s="116">
        <f t="shared" si="25"/>
        <v>0</v>
      </c>
      <c r="K107" s="116">
        <f t="shared" si="25"/>
        <v>0</v>
      </c>
      <c r="L107" s="116">
        <f t="shared" si="25"/>
        <v>0</v>
      </c>
      <c r="M107" s="116">
        <f t="shared" si="25"/>
        <v>0</v>
      </c>
      <c r="N107" s="116">
        <f t="shared" si="25"/>
        <v>0</v>
      </c>
      <c r="O107" s="116">
        <f t="shared" si="25"/>
        <v>0</v>
      </c>
      <c r="P107" s="116">
        <f t="shared" si="25"/>
        <v>0</v>
      </c>
      <c r="Q107" s="116">
        <f t="shared" si="25"/>
        <v>0</v>
      </c>
      <c r="R107" s="116">
        <f t="shared" si="25"/>
        <v>0</v>
      </c>
      <c r="S107" s="116">
        <f t="shared" si="25"/>
        <v>0</v>
      </c>
      <c r="T107" s="116">
        <f t="shared" si="25"/>
        <v>0</v>
      </c>
      <c r="U107" s="116">
        <f t="shared" si="25"/>
        <v>0</v>
      </c>
      <c r="V107" s="116">
        <f t="shared" si="25"/>
        <v>0</v>
      </c>
      <c r="W107" s="116">
        <f t="shared" si="25"/>
        <v>0</v>
      </c>
      <c r="X107" s="116">
        <f t="shared" si="25"/>
        <v>0</v>
      </c>
      <c r="Y107" s="118">
        <f t="shared" si="25"/>
        <v>56000</v>
      </c>
    </row>
    <row r="108" spans="1:25" ht="20.25" customHeight="1" thickBot="1">
      <c r="A108" s="264" t="s">
        <v>231</v>
      </c>
      <c r="B108" s="115">
        <f t="shared" ref="B108:Y108" si="26">B99+B107</f>
        <v>71200</v>
      </c>
      <c r="C108" s="115">
        <f t="shared" si="26"/>
        <v>0</v>
      </c>
      <c r="D108" s="115">
        <f t="shared" si="26"/>
        <v>23650</v>
      </c>
      <c r="E108" s="115">
        <f t="shared" si="26"/>
        <v>0</v>
      </c>
      <c r="F108" s="115">
        <f t="shared" si="26"/>
        <v>76000</v>
      </c>
      <c r="G108" s="115">
        <f t="shared" si="26"/>
        <v>0</v>
      </c>
      <c r="H108" s="115">
        <f t="shared" si="26"/>
        <v>0</v>
      </c>
      <c r="I108" s="115">
        <f t="shared" si="26"/>
        <v>0</v>
      </c>
      <c r="J108" s="115">
        <f t="shared" si="26"/>
        <v>0</v>
      </c>
      <c r="K108" s="115">
        <f t="shared" si="26"/>
        <v>0</v>
      </c>
      <c r="L108" s="115">
        <f t="shared" si="26"/>
        <v>0</v>
      </c>
      <c r="M108" s="115">
        <f t="shared" si="26"/>
        <v>0</v>
      </c>
      <c r="N108" s="115">
        <f t="shared" si="26"/>
        <v>0</v>
      </c>
      <c r="O108" s="115">
        <f t="shared" si="26"/>
        <v>0</v>
      </c>
      <c r="P108" s="115">
        <f t="shared" si="26"/>
        <v>0</v>
      </c>
      <c r="Q108" s="115">
        <f t="shared" si="26"/>
        <v>0</v>
      </c>
      <c r="R108" s="115">
        <f t="shared" si="26"/>
        <v>0</v>
      </c>
      <c r="S108" s="115">
        <f t="shared" si="26"/>
        <v>0</v>
      </c>
      <c r="T108" s="115">
        <f t="shared" si="26"/>
        <v>0</v>
      </c>
      <c r="U108" s="115">
        <f t="shared" si="26"/>
        <v>0</v>
      </c>
      <c r="V108" s="115">
        <f t="shared" si="26"/>
        <v>0</v>
      </c>
      <c r="W108" s="115">
        <f t="shared" si="26"/>
        <v>0</v>
      </c>
      <c r="X108" s="115">
        <f t="shared" si="26"/>
        <v>0</v>
      </c>
      <c r="Y108" s="122">
        <f t="shared" si="26"/>
        <v>170850</v>
      </c>
    </row>
    <row r="109" spans="1:25" ht="20.25" customHeight="1" thickBot="1">
      <c r="A109" s="273" t="s">
        <v>55</v>
      </c>
      <c r="B109" s="109"/>
      <c r="C109" s="109"/>
      <c r="D109" s="109"/>
      <c r="E109" s="109"/>
      <c r="F109" s="109">
        <v>0</v>
      </c>
      <c r="G109" s="109"/>
      <c r="H109" s="109"/>
      <c r="I109" s="109"/>
      <c r="J109" s="109"/>
      <c r="K109" s="109"/>
      <c r="L109" s="109"/>
      <c r="M109" s="109">
        <v>849900</v>
      </c>
      <c r="N109" s="109"/>
      <c r="O109" s="109"/>
      <c r="P109" s="109"/>
      <c r="Q109" s="109"/>
      <c r="R109" s="109">
        <v>0</v>
      </c>
      <c r="S109" s="109">
        <v>0</v>
      </c>
      <c r="T109" s="109">
        <v>0</v>
      </c>
      <c r="U109" s="109">
        <v>0</v>
      </c>
      <c r="V109" s="109">
        <v>0</v>
      </c>
      <c r="W109" s="125">
        <v>0</v>
      </c>
      <c r="X109" s="109">
        <v>0</v>
      </c>
      <c r="Y109" s="122">
        <f>SUM(B109:X109)</f>
        <v>849900</v>
      </c>
    </row>
    <row r="110" spans="1:25" ht="20.25" customHeight="1">
      <c r="A110" s="266">
        <v>542000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21">
        <f t="shared" ref="Y110:Y114" si="27">SUM(B110:X110)</f>
        <v>0</v>
      </c>
    </row>
    <row r="111" spans="1:25" ht="20.25" customHeight="1">
      <c r="A111" s="260">
        <v>420600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21">
        <f t="shared" si="27"/>
        <v>0</v>
      </c>
    </row>
    <row r="112" spans="1:25" ht="20.25" customHeight="1">
      <c r="A112" s="254" t="s">
        <v>342</v>
      </c>
      <c r="B112" s="112"/>
      <c r="C112" s="112"/>
      <c r="D112" s="112"/>
      <c r="E112" s="112"/>
      <c r="F112" s="112">
        <v>0</v>
      </c>
      <c r="G112" s="112"/>
      <c r="H112" s="112"/>
      <c r="I112" s="112"/>
      <c r="J112" s="112"/>
      <c r="K112" s="112"/>
      <c r="L112" s="112"/>
      <c r="M112" s="112">
        <f>686000</f>
        <v>686000</v>
      </c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21">
        <f t="shared" si="27"/>
        <v>686000</v>
      </c>
    </row>
    <row r="113" spans="1:25" ht="20.25" customHeight="1" thickBot="1">
      <c r="A113" s="261" t="s">
        <v>117</v>
      </c>
      <c r="B113" s="109"/>
      <c r="C113" s="109"/>
      <c r="D113" s="109"/>
      <c r="E113" s="109"/>
      <c r="F113" s="109">
        <v>0</v>
      </c>
      <c r="G113" s="109"/>
      <c r="H113" s="109"/>
      <c r="I113" s="109"/>
      <c r="J113" s="109"/>
      <c r="K113" s="109"/>
      <c r="L113" s="109"/>
      <c r="M113" s="109">
        <v>0</v>
      </c>
      <c r="N113" s="109"/>
      <c r="O113" s="109"/>
      <c r="P113" s="109"/>
      <c r="Q113" s="109"/>
      <c r="R113" s="109"/>
      <c r="S113" s="109"/>
      <c r="T113" s="109"/>
      <c r="U113" s="109"/>
      <c r="V113" s="109"/>
      <c r="W113" s="114"/>
      <c r="X113" s="109"/>
      <c r="Y113" s="121">
        <f t="shared" si="27"/>
        <v>0</v>
      </c>
    </row>
    <row r="114" spans="1:25" ht="20.25" customHeight="1">
      <c r="A114" s="263" t="s">
        <v>230</v>
      </c>
      <c r="B114" s="116">
        <f t="shared" ref="B114:X114" si="28">SUM(B111:B113)</f>
        <v>0</v>
      </c>
      <c r="C114" s="116">
        <f t="shared" si="28"/>
        <v>0</v>
      </c>
      <c r="D114" s="116">
        <f t="shared" si="28"/>
        <v>0</v>
      </c>
      <c r="E114" s="116">
        <f t="shared" si="28"/>
        <v>0</v>
      </c>
      <c r="F114" s="116">
        <f t="shared" si="28"/>
        <v>0</v>
      </c>
      <c r="G114" s="116">
        <f t="shared" si="28"/>
        <v>0</v>
      </c>
      <c r="H114" s="116">
        <f t="shared" si="28"/>
        <v>0</v>
      </c>
      <c r="I114" s="116">
        <f t="shared" si="28"/>
        <v>0</v>
      </c>
      <c r="J114" s="116">
        <f t="shared" si="28"/>
        <v>0</v>
      </c>
      <c r="K114" s="116">
        <f t="shared" si="28"/>
        <v>0</v>
      </c>
      <c r="L114" s="116">
        <f t="shared" si="28"/>
        <v>0</v>
      </c>
      <c r="M114" s="116">
        <f t="shared" si="28"/>
        <v>686000</v>
      </c>
      <c r="N114" s="116">
        <f t="shared" si="28"/>
        <v>0</v>
      </c>
      <c r="O114" s="116">
        <f t="shared" si="28"/>
        <v>0</v>
      </c>
      <c r="P114" s="116">
        <f t="shared" si="28"/>
        <v>0</v>
      </c>
      <c r="Q114" s="116">
        <f t="shared" si="28"/>
        <v>0</v>
      </c>
      <c r="R114" s="116">
        <f t="shared" si="28"/>
        <v>0</v>
      </c>
      <c r="S114" s="116">
        <f t="shared" si="28"/>
        <v>0</v>
      </c>
      <c r="T114" s="116">
        <f t="shared" si="28"/>
        <v>0</v>
      </c>
      <c r="U114" s="116">
        <f t="shared" si="28"/>
        <v>0</v>
      </c>
      <c r="V114" s="116">
        <f t="shared" si="28"/>
        <v>0</v>
      </c>
      <c r="W114" s="116">
        <f t="shared" si="28"/>
        <v>0</v>
      </c>
      <c r="X114" s="116">
        <f t="shared" si="28"/>
        <v>0</v>
      </c>
      <c r="Y114" s="134">
        <f t="shared" si="27"/>
        <v>686000</v>
      </c>
    </row>
    <row r="115" spans="1:25" ht="20.25" customHeight="1" thickBot="1">
      <c r="A115" s="264" t="s">
        <v>231</v>
      </c>
      <c r="B115" s="115">
        <f t="shared" ref="B115:Y115" si="29">B109+B114</f>
        <v>0</v>
      </c>
      <c r="C115" s="115">
        <f t="shared" si="29"/>
        <v>0</v>
      </c>
      <c r="D115" s="115">
        <f t="shared" si="29"/>
        <v>0</v>
      </c>
      <c r="E115" s="115">
        <f t="shared" si="29"/>
        <v>0</v>
      </c>
      <c r="F115" s="115">
        <f t="shared" si="29"/>
        <v>0</v>
      </c>
      <c r="G115" s="115">
        <f t="shared" si="29"/>
        <v>0</v>
      </c>
      <c r="H115" s="115">
        <f t="shared" si="29"/>
        <v>0</v>
      </c>
      <c r="I115" s="115">
        <f t="shared" si="29"/>
        <v>0</v>
      </c>
      <c r="J115" s="115">
        <f t="shared" si="29"/>
        <v>0</v>
      </c>
      <c r="K115" s="115">
        <f t="shared" si="29"/>
        <v>0</v>
      </c>
      <c r="L115" s="115">
        <f t="shared" si="29"/>
        <v>0</v>
      </c>
      <c r="M115" s="115">
        <f t="shared" si="29"/>
        <v>1535900</v>
      </c>
      <c r="N115" s="115">
        <f t="shared" si="29"/>
        <v>0</v>
      </c>
      <c r="O115" s="115">
        <f t="shared" si="29"/>
        <v>0</v>
      </c>
      <c r="P115" s="115">
        <f t="shared" si="29"/>
        <v>0</v>
      </c>
      <c r="Q115" s="115">
        <f t="shared" si="29"/>
        <v>0</v>
      </c>
      <c r="R115" s="115">
        <f t="shared" si="29"/>
        <v>0</v>
      </c>
      <c r="S115" s="115">
        <f t="shared" si="29"/>
        <v>0</v>
      </c>
      <c r="T115" s="115">
        <f t="shared" si="29"/>
        <v>0</v>
      </c>
      <c r="U115" s="115">
        <f t="shared" si="29"/>
        <v>0</v>
      </c>
      <c r="V115" s="115">
        <f t="shared" si="29"/>
        <v>0</v>
      </c>
      <c r="W115" s="115">
        <f t="shared" si="29"/>
        <v>0</v>
      </c>
      <c r="X115" s="115">
        <f t="shared" si="29"/>
        <v>0</v>
      </c>
      <c r="Y115" s="122">
        <f t="shared" si="29"/>
        <v>1535900</v>
      </c>
    </row>
    <row r="127" spans="1:25" ht="20.25" customHeight="1">
      <c r="A127" s="530" t="s">
        <v>190</v>
      </c>
      <c r="B127" s="530"/>
      <c r="C127" s="530"/>
      <c r="D127" s="530"/>
      <c r="E127" s="530"/>
      <c r="F127" s="530"/>
      <c r="G127" s="530"/>
      <c r="H127" s="530"/>
      <c r="I127" s="530"/>
      <c r="J127" s="530"/>
      <c r="K127" s="530"/>
      <c r="L127" s="530"/>
      <c r="M127" s="530"/>
      <c r="N127" s="530"/>
      <c r="O127" s="530"/>
      <c r="P127" s="530"/>
      <c r="Q127" s="530"/>
      <c r="R127" s="530"/>
      <c r="S127" s="530"/>
      <c r="T127" s="530"/>
      <c r="U127" s="530"/>
      <c r="V127" s="530"/>
      <c r="W127" s="530"/>
      <c r="X127" s="530"/>
      <c r="Y127" s="530"/>
    </row>
    <row r="128" spans="1:25" ht="20.25" customHeight="1">
      <c r="A128" s="530" t="s">
        <v>191</v>
      </c>
      <c r="B128" s="530"/>
      <c r="C128" s="530"/>
      <c r="D128" s="530"/>
      <c r="E128" s="530"/>
      <c r="F128" s="530"/>
      <c r="G128" s="530"/>
      <c r="H128" s="530"/>
      <c r="I128" s="530"/>
      <c r="J128" s="530"/>
      <c r="K128" s="530"/>
      <c r="L128" s="530"/>
      <c r="M128" s="530"/>
      <c r="N128" s="530"/>
      <c r="O128" s="530"/>
      <c r="P128" s="530"/>
      <c r="Q128" s="530"/>
      <c r="R128" s="530"/>
      <c r="S128" s="530"/>
      <c r="T128" s="530"/>
      <c r="U128" s="530"/>
      <c r="V128" s="530"/>
      <c r="W128" s="530"/>
      <c r="X128" s="530"/>
      <c r="Y128" s="530"/>
    </row>
    <row r="129" spans="1:25" ht="20.25" customHeight="1" thickBot="1">
      <c r="A129" s="531" t="str">
        <f>A3</f>
        <v>วันที่  31  มีนาคม  2558</v>
      </c>
      <c r="B129" s="531"/>
      <c r="C129" s="531"/>
      <c r="D129" s="531"/>
      <c r="E129" s="531"/>
      <c r="F129" s="531"/>
      <c r="G129" s="531"/>
      <c r="H129" s="531"/>
      <c r="I129" s="531"/>
      <c r="J129" s="531"/>
      <c r="K129" s="531"/>
      <c r="L129" s="531"/>
      <c r="M129" s="531"/>
      <c r="N129" s="531"/>
      <c r="O129" s="531"/>
      <c r="P129" s="531"/>
      <c r="Q129" s="531"/>
      <c r="R129" s="531"/>
      <c r="S129" s="531"/>
      <c r="T129" s="531"/>
      <c r="U129" s="531"/>
      <c r="V129" s="531"/>
      <c r="W129" s="531"/>
      <c r="X129" s="531"/>
      <c r="Y129" s="531"/>
    </row>
    <row r="130" spans="1:25" ht="20.25" customHeight="1">
      <c r="A130" s="263" t="s">
        <v>192</v>
      </c>
      <c r="B130" s="532" t="s">
        <v>403</v>
      </c>
      <c r="C130" s="532"/>
      <c r="D130" s="532" t="s">
        <v>405</v>
      </c>
      <c r="E130" s="532"/>
      <c r="F130" s="532" t="s">
        <v>404</v>
      </c>
      <c r="G130" s="532"/>
      <c r="H130" s="532"/>
      <c r="I130" s="532" t="s">
        <v>406</v>
      </c>
      <c r="J130" s="532"/>
      <c r="K130" s="532" t="s">
        <v>407</v>
      </c>
      <c r="L130" s="532"/>
      <c r="M130" s="533" t="s">
        <v>408</v>
      </c>
      <c r="N130" s="534"/>
      <c r="O130" s="535"/>
      <c r="P130" s="532" t="s">
        <v>409</v>
      </c>
      <c r="Q130" s="532"/>
      <c r="R130" s="532" t="s">
        <v>410</v>
      </c>
      <c r="S130" s="532"/>
      <c r="T130" s="532"/>
      <c r="U130" s="361" t="s">
        <v>201</v>
      </c>
      <c r="V130" s="361" t="s">
        <v>411</v>
      </c>
      <c r="W130" s="361" t="s">
        <v>412</v>
      </c>
      <c r="X130" s="361" t="s">
        <v>413</v>
      </c>
      <c r="Y130" s="536" t="s">
        <v>54</v>
      </c>
    </row>
    <row r="131" spans="1:25" ht="20.25" customHeight="1" thickBot="1">
      <c r="A131" s="264" t="s">
        <v>205</v>
      </c>
      <c r="B131" s="107" t="s">
        <v>206</v>
      </c>
      <c r="C131" s="107" t="s">
        <v>207</v>
      </c>
      <c r="D131" s="107" t="s">
        <v>208</v>
      </c>
      <c r="E131" s="107" t="s">
        <v>209</v>
      </c>
      <c r="F131" s="107" t="s">
        <v>210</v>
      </c>
      <c r="G131" s="107" t="s">
        <v>211</v>
      </c>
      <c r="H131" s="107" t="s">
        <v>212</v>
      </c>
      <c r="I131" s="107" t="s">
        <v>213</v>
      </c>
      <c r="J131" s="107" t="s">
        <v>214</v>
      </c>
      <c r="K131" s="107" t="s">
        <v>215</v>
      </c>
      <c r="L131" s="107" t="s">
        <v>216</v>
      </c>
      <c r="M131" s="108" t="s">
        <v>217</v>
      </c>
      <c r="N131" s="107" t="s">
        <v>218</v>
      </c>
      <c r="O131" s="107" t="s">
        <v>219</v>
      </c>
      <c r="P131" s="107" t="s">
        <v>220</v>
      </c>
      <c r="Q131" s="107" t="s">
        <v>221</v>
      </c>
      <c r="R131" s="107" t="s">
        <v>222</v>
      </c>
      <c r="S131" s="107" t="s">
        <v>223</v>
      </c>
      <c r="T131" s="107" t="s">
        <v>224</v>
      </c>
      <c r="U131" s="107" t="s">
        <v>225</v>
      </c>
      <c r="V131" s="107" t="s">
        <v>227</v>
      </c>
      <c r="W131" s="107" t="s">
        <v>228</v>
      </c>
      <c r="X131" s="107" t="s">
        <v>229</v>
      </c>
      <c r="Y131" s="537"/>
    </row>
    <row r="132" spans="1:25" ht="20.25" customHeight="1">
      <c r="A132" s="269" t="s">
        <v>232</v>
      </c>
      <c r="B132" s="116"/>
      <c r="C132" s="116">
        <v>0</v>
      </c>
      <c r="D132" s="116">
        <v>0</v>
      </c>
      <c r="E132" s="116">
        <v>0</v>
      </c>
      <c r="F132" s="116">
        <v>0</v>
      </c>
      <c r="G132" s="116"/>
      <c r="H132" s="116">
        <v>0</v>
      </c>
      <c r="I132" s="116">
        <v>0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16">
        <v>0</v>
      </c>
      <c r="Y132" s="111">
        <f>SUM(B132:X132)</f>
        <v>0</v>
      </c>
    </row>
    <row r="133" spans="1:25" ht="20.25" customHeight="1">
      <c r="A133" s="270">
        <v>551000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21">
        <f>SUM(B133:X133)</f>
        <v>0</v>
      </c>
    </row>
    <row r="134" spans="1:25" ht="20.25" customHeight="1">
      <c r="A134" s="260">
        <v>510100</v>
      </c>
      <c r="B134" s="112">
        <v>0</v>
      </c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21">
        <f>SUM(B134:X134)</f>
        <v>0</v>
      </c>
    </row>
    <row r="135" spans="1:25" ht="20.25" customHeight="1">
      <c r="A135" s="260">
        <v>510200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21">
        <f>SUM(B135:X135)</f>
        <v>0</v>
      </c>
    </row>
    <row r="136" spans="1:25" ht="20.25" customHeight="1">
      <c r="A136" s="271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31"/>
    </row>
    <row r="137" spans="1:25" ht="20.25" customHeight="1" thickBot="1">
      <c r="A137" s="26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22">
        <f>SUM(B137:X137)</f>
        <v>0</v>
      </c>
    </row>
    <row r="138" spans="1:25" ht="20.25" customHeight="1">
      <c r="A138" s="263" t="s">
        <v>230</v>
      </c>
      <c r="B138" s="138">
        <f>SUM(B133:B137)</f>
        <v>0</v>
      </c>
      <c r="C138" s="138">
        <f t="shared" ref="C138:I138" si="30">SUM(C137)</f>
        <v>0</v>
      </c>
      <c r="D138" s="138">
        <f t="shared" si="30"/>
        <v>0</v>
      </c>
      <c r="E138" s="138">
        <f t="shared" si="30"/>
        <v>0</v>
      </c>
      <c r="F138" s="138">
        <f t="shared" si="30"/>
        <v>0</v>
      </c>
      <c r="G138" s="138">
        <f t="shared" si="30"/>
        <v>0</v>
      </c>
      <c r="H138" s="138">
        <f t="shared" si="30"/>
        <v>0</v>
      </c>
      <c r="I138" s="138">
        <f t="shared" si="30"/>
        <v>0</v>
      </c>
      <c r="J138" s="138">
        <f>SUM(J134:J137)</f>
        <v>0</v>
      </c>
      <c r="K138" s="138">
        <f>SUM(K137)</f>
        <v>0</v>
      </c>
      <c r="L138" s="138">
        <f>SUM(L137)</f>
        <v>0</v>
      </c>
      <c r="M138" s="138">
        <f>SUM(M137)</f>
        <v>0</v>
      </c>
      <c r="N138" s="138">
        <f>SUM(N133:N137)</f>
        <v>0</v>
      </c>
      <c r="O138" s="138">
        <f t="shared" ref="O138:X138" si="31">SUM(O137)</f>
        <v>0</v>
      </c>
      <c r="P138" s="138">
        <f t="shared" si="31"/>
        <v>0</v>
      </c>
      <c r="Q138" s="138">
        <f t="shared" si="31"/>
        <v>0</v>
      </c>
      <c r="R138" s="138">
        <f t="shared" si="31"/>
        <v>0</v>
      </c>
      <c r="S138" s="138">
        <f t="shared" si="31"/>
        <v>0</v>
      </c>
      <c r="T138" s="138">
        <f t="shared" si="31"/>
        <v>0</v>
      </c>
      <c r="U138" s="138">
        <f t="shared" si="31"/>
        <v>0</v>
      </c>
      <c r="V138" s="138">
        <f t="shared" si="31"/>
        <v>0</v>
      </c>
      <c r="W138" s="138">
        <f t="shared" si="31"/>
        <v>0</v>
      </c>
      <c r="X138" s="138">
        <f t="shared" si="31"/>
        <v>0</v>
      </c>
      <c r="Y138" s="118">
        <f>SUM(B138:X138)</f>
        <v>0</v>
      </c>
    </row>
    <row r="139" spans="1:25" ht="20.25" customHeight="1" thickBot="1">
      <c r="A139" s="264" t="s">
        <v>231</v>
      </c>
      <c r="B139" s="139">
        <f t="shared" ref="B139:Y139" si="32">B132+B138</f>
        <v>0</v>
      </c>
      <c r="C139" s="139">
        <f t="shared" si="32"/>
        <v>0</v>
      </c>
      <c r="D139" s="139">
        <f t="shared" si="32"/>
        <v>0</v>
      </c>
      <c r="E139" s="139">
        <f t="shared" si="32"/>
        <v>0</v>
      </c>
      <c r="F139" s="139">
        <f t="shared" si="32"/>
        <v>0</v>
      </c>
      <c r="G139" s="139">
        <f t="shared" si="32"/>
        <v>0</v>
      </c>
      <c r="H139" s="139">
        <f t="shared" si="32"/>
        <v>0</v>
      </c>
      <c r="I139" s="139">
        <f t="shared" si="32"/>
        <v>0</v>
      </c>
      <c r="J139" s="139">
        <f t="shared" si="32"/>
        <v>0</v>
      </c>
      <c r="K139" s="139">
        <f t="shared" si="32"/>
        <v>0</v>
      </c>
      <c r="L139" s="139">
        <f t="shared" si="32"/>
        <v>0</v>
      </c>
      <c r="M139" s="139">
        <f t="shared" si="32"/>
        <v>0</v>
      </c>
      <c r="N139" s="139">
        <f t="shared" si="32"/>
        <v>0</v>
      </c>
      <c r="O139" s="139">
        <f t="shared" si="32"/>
        <v>0</v>
      </c>
      <c r="P139" s="139">
        <f t="shared" si="32"/>
        <v>0</v>
      </c>
      <c r="Q139" s="139">
        <f t="shared" si="32"/>
        <v>0</v>
      </c>
      <c r="R139" s="139">
        <f t="shared" si="32"/>
        <v>0</v>
      </c>
      <c r="S139" s="139">
        <f t="shared" si="32"/>
        <v>0</v>
      </c>
      <c r="T139" s="139">
        <f t="shared" si="32"/>
        <v>0</v>
      </c>
      <c r="U139" s="139">
        <f t="shared" si="32"/>
        <v>0</v>
      </c>
      <c r="V139" s="139">
        <f t="shared" si="32"/>
        <v>0</v>
      </c>
      <c r="W139" s="139">
        <f t="shared" si="32"/>
        <v>0</v>
      </c>
      <c r="X139" s="139">
        <f t="shared" si="32"/>
        <v>0</v>
      </c>
      <c r="Y139" s="122">
        <f t="shared" si="32"/>
        <v>0</v>
      </c>
    </row>
    <row r="140" spans="1:25" ht="20.25" customHeight="1">
      <c r="A140" s="269" t="s">
        <v>232</v>
      </c>
      <c r="B140" s="116"/>
      <c r="C140" s="116">
        <v>0</v>
      </c>
      <c r="D140" s="116">
        <v>0</v>
      </c>
      <c r="E140" s="116">
        <v>0</v>
      </c>
      <c r="F140" s="116">
        <v>0</v>
      </c>
      <c r="G140" s="116">
        <v>1318000</v>
      </c>
      <c r="H140" s="116"/>
      <c r="I140" s="116">
        <v>0</v>
      </c>
      <c r="J140" s="116"/>
      <c r="K140" s="116">
        <v>0</v>
      </c>
      <c r="L140" s="116">
        <v>0</v>
      </c>
      <c r="M140" s="116">
        <v>0</v>
      </c>
      <c r="N140" s="116">
        <v>0</v>
      </c>
      <c r="O140" s="116">
        <v>0</v>
      </c>
      <c r="P140" s="116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16">
        <v>0</v>
      </c>
      <c r="Y140" s="140">
        <f>SUM(B140:X140)</f>
        <v>1318000</v>
      </c>
    </row>
    <row r="141" spans="1:25" ht="20.25" customHeight="1">
      <c r="A141" s="270">
        <v>560000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41"/>
      <c r="Y141" s="121">
        <f>SUM(B141:X141)</f>
        <v>0</v>
      </c>
    </row>
    <row r="142" spans="1:25" ht="20.25" customHeight="1">
      <c r="A142" s="272">
        <v>610100</v>
      </c>
      <c r="B142" s="114">
        <v>15000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1">
        <f>SUM(B142:X142)</f>
        <v>15000</v>
      </c>
    </row>
    <row r="143" spans="1:25" ht="20.25" customHeight="1">
      <c r="A143" s="142">
        <v>610200</v>
      </c>
      <c r="B143" s="114"/>
      <c r="C143" s="114"/>
      <c r="D143" s="114"/>
      <c r="E143" s="114"/>
      <c r="F143" s="114"/>
      <c r="G143" s="114"/>
      <c r="H143" s="114">
        <v>0</v>
      </c>
      <c r="I143" s="114">
        <v>0</v>
      </c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1">
        <f>SUM(B143:X143)</f>
        <v>0</v>
      </c>
    </row>
    <row r="144" spans="1:25" ht="20.25" customHeight="1" thickBot="1">
      <c r="A144" s="142">
        <v>610400</v>
      </c>
      <c r="B144" s="114"/>
      <c r="C144" s="114"/>
      <c r="D144" s="114"/>
      <c r="E144" s="114"/>
      <c r="F144" s="114"/>
      <c r="G144" s="114"/>
      <c r="H144" s="114"/>
      <c r="I144" s="114">
        <v>0</v>
      </c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1">
        <f>SUM(B144:X144)</f>
        <v>0</v>
      </c>
    </row>
    <row r="145" spans="1:207" ht="20.25" customHeight="1">
      <c r="A145" s="104" t="s">
        <v>230</v>
      </c>
      <c r="B145" s="116">
        <f t="shared" ref="B145:Y145" si="33">SUM(B141:B144)</f>
        <v>15000</v>
      </c>
      <c r="C145" s="116">
        <f t="shared" si="33"/>
        <v>0</v>
      </c>
      <c r="D145" s="116">
        <f t="shared" si="33"/>
        <v>0</v>
      </c>
      <c r="E145" s="116">
        <f t="shared" si="33"/>
        <v>0</v>
      </c>
      <c r="F145" s="116">
        <f t="shared" si="33"/>
        <v>0</v>
      </c>
      <c r="G145" s="116">
        <f t="shared" si="33"/>
        <v>0</v>
      </c>
      <c r="H145" s="116">
        <f t="shared" si="33"/>
        <v>0</v>
      </c>
      <c r="I145" s="116">
        <f t="shared" si="33"/>
        <v>0</v>
      </c>
      <c r="J145" s="116">
        <f t="shared" si="33"/>
        <v>0</v>
      </c>
      <c r="K145" s="116">
        <f t="shared" si="33"/>
        <v>0</v>
      </c>
      <c r="L145" s="116">
        <f t="shared" si="33"/>
        <v>0</v>
      </c>
      <c r="M145" s="116">
        <f t="shared" si="33"/>
        <v>0</v>
      </c>
      <c r="N145" s="116">
        <f t="shared" si="33"/>
        <v>0</v>
      </c>
      <c r="O145" s="116">
        <f t="shared" si="33"/>
        <v>0</v>
      </c>
      <c r="P145" s="116">
        <f t="shared" si="33"/>
        <v>0</v>
      </c>
      <c r="Q145" s="116">
        <f t="shared" si="33"/>
        <v>0</v>
      </c>
      <c r="R145" s="116">
        <f t="shared" si="33"/>
        <v>0</v>
      </c>
      <c r="S145" s="116">
        <f t="shared" si="33"/>
        <v>0</v>
      </c>
      <c r="T145" s="116">
        <f t="shared" si="33"/>
        <v>0</v>
      </c>
      <c r="U145" s="116">
        <f t="shared" si="33"/>
        <v>0</v>
      </c>
      <c r="V145" s="116">
        <f t="shared" si="33"/>
        <v>0</v>
      </c>
      <c r="W145" s="116">
        <f t="shared" si="33"/>
        <v>0</v>
      </c>
      <c r="X145" s="116">
        <f t="shared" si="33"/>
        <v>0</v>
      </c>
      <c r="Y145" s="118">
        <f t="shared" si="33"/>
        <v>15000</v>
      </c>
    </row>
    <row r="146" spans="1:207" ht="20.25" customHeight="1" thickBot="1">
      <c r="A146" s="106" t="s">
        <v>231</v>
      </c>
      <c r="B146" s="115">
        <f t="shared" ref="B146:X146" si="34">B140+B145</f>
        <v>15000</v>
      </c>
      <c r="C146" s="115">
        <f t="shared" si="34"/>
        <v>0</v>
      </c>
      <c r="D146" s="115">
        <f t="shared" si="34"/>
        <v>0</v>
      </c>
      <c r="E146" s="115">
        <f t="shared" si="34"/>
        <v>0</v>
      </c>
      <c r="F146" s="115">
        <f t="shared" si="34"/>
        <v>0</v>
      </c>
      <c r="G146" s="115">
        <f t="shared" si="34"/>
        <v>1318000</v>
      </c>
      <c r="H146" s="115">
        <f t="shared" si="34"/>
        <v>0</v>
      </c>
      <c r="I146" s="115">
        <f t="shared" si="34"/>
        <v>0</v>
      </c>
      <c r="J146" s="115">
        <f t="shared" si="34"/>
        <v>0</v>
      </c>
      <c r="K146" s="115">
        <f t="shared" si="34"/>
        <v>0</v>
      </c>
      <c r="L146" s="115">
        <f t="shared" si="34"/>
        <v>0</v>
      </c>
      <c r="M146" s="115">
        <f t="shared" si="34"/>
        <v>0</v>
      </c>
      <c r="N146" s="115">
        <f t="shared" si="34"/>
        <v>0</v>
      </c>
      <c r="O146" s="115">
        <f t="shared" si="34"/>
        <v>0</v>
      </c>
      <c r="P146" s="115">
        <f t="shared" si="34"/>
        <v>0</v>
      </c>
      <c r="Q146" s="115">
        <f t="shared" si="34"/>
        <v>0</v>
      </c>
      <c r="R146" s="115">
        <f t="shared" si="34"/>
        <v>0</v>
      </c>
      <c r="S146" s="115">
        <f t="shared" si="34"/>
        <v>0</v>
      </c>
      <c r="T146" s="115">
        <f t="shared" si="34"/>
        <v>0</v>
      </c>
      <c r="U146" s="115">
        <f t="shared" si="34"/>
        <v>0</v>
      </c>
      <c r="V146" s="115">
        <f t="shared" si="34"/>
        <v>0</v>
      </c>
      <c r="W146" s="115">
        <f t="shared" si="34"/>
        <v>0</v>
      </c>
      <c r="X146" s="115">
        <f t="shared" si="34"/>
        <v>0</v>
      </c>
      <c r="Y146" s="122">
        <f>+Y140+Y145</f>
        <v>1333000</v>
      </c>
    </row>
    <row r="147" spans="1:207" ht="20.25" customHeight="1">
      <c r="A147" s="104" t="s">
        <v>230</v>
      </c>
      <c r="B147" s="138">
        <f t="shared" ref="B147:Y147" si="35">B17+B26+B37+B57+B65+B81+B97+B107+B114+B138+B145</f>
        <v>615514.24</v>
      </c>
      <c r="C147" s="138">
        <f t="shared" si="35"/>
        <v>165665</v>
      </c>
      <c r="D147" s="138">
        <f t="shared" si="35"/>
        <v>0</v>
      </c>
      <c r="E147" s="138">
        <f t="shared" si="35"/>
        <v>135.88999999999999</v>
      </c>
      <c r="F147" s="138">
        <f t="shared" si="35"/>
        <v>68360.289999999994</v>
      </c>
      <c r="G147" s="138">
        <f t="shared" si="35"/>
        <v>0</v>
      </c>
      <c r="H147" s="138">
        <f t="shared" si="35"/>
        <v>0</v>
      </c>
      <c r="I147" s="138">
        <f t="shared" si="35"/>
        <v>99475</v>
      </c>
      <c r="J147" s="138">
        <f t="shared" si="35"/>
        <v>0</v>
      </c>
      <c r="K147" s="138">
        <f t="shared" si="35"/>
        <v>0</v>
      </c>
      <c r="L147" s="138">
        <f t="shared" si="35"/>
        <v>0</v>
      </c>
      <c r="M147" s="138">
        <f t="shared" si="35"/>
        <v>867910</v>
      </c>
      <c r="N147" s="138">
        <f t="shared" si="35"/>
        <v>0</v>
      </c>
      <c r="O147" s="138">
        <f t="shared" si="35"/>
        <v>0</v>
      </c>
      <c r="P147" s="138">
        <f t="shared" si="35"/>
        <v>0</v>
      </c>
      <c r="Q147" s="138">
        <f t="shared" si="35"/>
        <v>0</v>
      </c>
      <c r="R147" s="138">
        <f t="shared" si="35"/>
        <v>0</v>
      </c>
      <c r="S147" s="138">
        <f t="shared" si="35"/>
        <v>49916</v>
      </c>
      <c r="T147" s="138">
        <f t="shared" si="35"/>
        <v>5000</v>
      </c>
      <c r="U147" s="138">
        <f t="shared" si="35"/>
        <v>0</v>
      </c>
      <c r="V147" s="138">
        <f t="shared" si="35"/>
        <v>5000</v>
      </c>
      <c r="W147" s="138">
        <f t="shared" si="35"/>
        <v>54046.55</v>
      </c>
      <c r="X147" s="138">
        <f t="shared" si="35"/>
        <v>11093</v>
      </c>
      <c r="Y147" s="118">
        <f t="shared" si="35"/>
        <v>1942115.97</v>
      </c>
    </row>
    <row r="148" spans="1:207" ht="20.25" customHeight="1" thickBot="1">
      <c r="A148" s="106" t="s">
        <v>231</v>
      </c>
      <c r="B148" s="143">
        <f t="shared" ref="B148:Y148" si="36">B18+B27+B38+B58+B66+B82+B98+B108+B115+B139+B146</f>
        <v>2994047.8400000003</v>
      </c>
      <c r="C148" s="143">
        <f t="shared" si="36"/>
        <v>866684</v>
      </c>
      <c r="D148" s="143">
        <f t="shared" si="36"/>
        <v>148470</v>
      </c>
      <c r="E148" s="143">
        <f t="shared" si="36"/>
        <v>4634.76</v>
      </c>
      <c r="F148" s="143">
        <f t="shared" si="36"/>
        <v>452751.56</v>
      </c>
      <c r="G148" s="143">
        <f t="shared" si="36"/>
        <v>1814000</v>
      </c>
      <c r="H148" s="143">
        <f t="shared" si="36"/>
        <v>0</v>
      </c>
      <c r="I148" s="143">
        <f t="shared" si="36"/>
        <v>99475</v>
      </c>
      <c r="J148" s="143">
        <f t="shared" si="36"/>
        <v>0</v>
      </c>
      <c r="K148" s="143">
        <f t="shared" si="36"/>
        <v>0</v>
      </c>
      <c r="L148" s="143">
        <f t="shared" si="36"/>
        <v>0</v>
      </c>
      <c r="M148" s="143">
        <f t="shared" si="36"/>
        <v>2326927.7999999998</v>
      </c>
      <c r="N148" s="143">
        <f t="shared" si="36"/>
        <v>0</v>
      </c>
      <c r="O148" s="143">
        <f t="shared" si="36"/>
        <v>0</v>
      </c>
      <c r="P148" s="143">
        <f t="shared" si="36"/>
        <v>0</v>
      </c>
      <c r="Q148" s="143">
        <f t="shared" si="36"/>
        <v>0</v>
      </c>
      <c r="R148" s="143">
        <f t="shared" si="36"/>
        <v>0</v>
      </c>
      <c r="S148" s="143">
        <f t="shared" si="36"/>
        <v>49916</v>
      </c>
      <c r="T148" s="143">
        <f t="shared" si="36"/>
        <v>129310</v>
      </c>
      <c r="U148" s="143">
        <f t="shared" si="36"/>
        <v>0</v>
      </c>
      <c r="V148" s="143">
        <f t="shared" si="36"/>
        <v>19915</v>
      </c>
      <c r="W148" s="143">
        <f t="shared" si="36"/>
        <v>430761.57</v>
      </c>
      <c r="X148" s="143">
        <f t="shared" si="36"/>
        <v>261212</v>
      </c>
      <c r="Y148" s="144">
        <f t="shared" si="36"/>
        <v>9598105.5300000012</v>
      </c>
    </row>
    <row r="149" spans="1:207" ht="20.25" customHeight="1">
      <c r="H149" s="119"/>
    </row>
    <row r="152" spans="1:207" s="135" customFormat="1" ht="20.25" customHeight="1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  <c r="BY152" s="103"/>
      <c r="BZ152" s="103"/>
      <c r="CA152" s="103"/>
      <c r="CB152" s="103"/>
      <c r="CC152" s="103"/>
      <c r="CD152" s="103"/>
      <c r="CE152" s="103"/>
      <c r="CF152" s="103"/>
      <c r="CG152" s="103"/>
      <c r="CH152" s="103"/>
      <c r="CI152" s="103"/>
      <c r="CJ152" s="103"/>
      <c r="CK152" s="103"/>
      <c r="CL152" s="103"/>
      <c r="CM152" s="103"/>
      <c r="CN152" s="103"/>
      <c r="CO152" s="103"/>
      <c r="CP152" s="103"/>
      <c r="CQ152" s="103"/>
      <c r="CR152" s="103"/>
      <c r="CS152" s="103"/>
      <c r="CT152" s="103"/>
      <c r="CU152" s="103"/>
      <c r="CV152" s="103"/>
      <c r="CW152" s="103"/>
      <c r="CX152" s="103"/>
      <c r="CY152" s="103"/>
      <c r="CZ152" s="103"/>
      <c r="DA152" s="103"/>
      <c r="DB152" s="103"/>
      <c r="DC152" s="103"/>
      <c r="DD152" s="103"/>
      <c r="DE152" s="103"/>
      <c r="DF152" s="103"/>
      <c r="DG152" s="103"/>
      <c r="DH152" s="103"/>
      <c r="DI152" s="103"/>
      <c r="DJ152" s="103"/>
      <c r="DK152" s="103"/>
      <c r="DL152" s="103"/>
      <c r="DM152" s="103"/>
      <c r="DN152" s="103"/>
      <c r="DO152" s="103"/>
      <c r="DP152" s="103"/>
      <c r="DQ152" s="103"/>
      <c r="DR152" s="103"/>
      <c r="DS152" s="103"/>
      <c r="DT152" s="103"/>
      <c r="DU152" s="103"/>
      <c r="DV152" s="103"/>
      <c r="DW152" s="103"/>
      <c r="DX152" s="103"/>
      <c r="DY152" s="103"/>
      <c r="DZ152" s="103"/>
      <c r="EA152" s="103"/>
      <c r="EB152" s="103"/>
      <c r="EC152" s="103"/>
      <c r="ED152" s="103"/>
      <c r="EE152" s="103"/>
      <c r="EF152" s="103"/>
      <c r="EG152" s="103"/>
      <c r="EH152" s="103"/>
      <c r="EI152" s="103"/>
      <c r="EJ152" s="103"/>
      <c r="EK152" s="103"/>
      <c r="EL152" s="103"/>
      <c r="EM152" s="103"/>
      <c r="EN152" s="103"/>
      <c r="EO152" s="103"/>
      <c r="EP152" s="103"/>
      <c r="EQ152" s="103"/>
      <c r="ER152" s="103"/>
      <c r="ES152" s="103"/>
      <c r="ET152" s="103"/>
      <c r="EU152" s="103"/>
      <c r="EV152" s="103"/>
      <c r="EW152" s="103"/>
      <c r="EX152" s="103"/>
      <c r="EY152" s="103"/>
      <c r="EZ152" s="103"/>
      <c r="FA152" s="103"/>
      <c r="FB152" s="103"/>
      <c r="FC152" s="103"/>
      <c r="FD152" s="103"/>
      <c r="FE152" s="103"/>
      <c r="FF152" s="103"/>
      <c r="FG152" s="103"/>
      <c r="FH152" s="103"/>
      <c r="FI152" s="103"/>
      <c r="FJ152" s="103"/>
      <c r="FK152" s="103"/>
      <c r="FL152" s="103"/>
      <c r="FM152" s="103"/>
      <c r="FN152" s="103"/>
      <c r="FO152" s="103"/>
      <c r="FP152" s="103"/>
      <c r="FQ152" s="103"/>
      <c r="FR152" s="103"/>
      <c r="FS152" s="103"/>
      <c r="FT152" s="103"/>
      <c r="FU152" s="103"/>
      <c r="FV152" s="103"/>
      <c r="FW152" s="103"/>
      <c r="FX152" s="103"/>
      <c r="FY152" s="103"/>
      <c r="FZ152" s="103"/>
      <c r="GA152" s="103"/>
      <c r="GB152" s="103"/>
      <c r="GC152" s="103"/>
      <c r="GD152" s="103"/>
      <c r="GE152" s="103"/>
      <c r="GF152" s="103"/>
      <c r="GG152" s="103"/>
      <c r="GH152" s="103"/>
      <c r="GI152" s="103"/>
      <c r="GJ152" s="103"/>
      <c r="GK152" s="103"/>
      <c r="GL152" s="103"/>
      <c r="GM152" s="103"/>
      <c r="GN152" s="103"/>
      <c r="GO152" s="103"/>
      <c r="GP152" s="103"/>
      <c r="GQ152" s="103"/>
      <c r="GR152" s="103"/>
      <c r="GS152" s="103"/>
      <c r="GT152" s="103"/>
      <c r="GU152" s="103"/>
      <c r="GV152" s="103"/>
      <c r="GW152" s="103"/>
      <c r="GX152" s="103"/>
      <c r="GY152" s="103"/>
    </row>
    <row r="153" spans="1:207" s="135" customFormat="1" ht="20.25" customHeight="1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3"/>
      <c r="BW153" s="103"/>
      <c r="BX153" s="103"/>
      <c r="BY153" s="103"/>
      <c r="BZ153" s="103"/>
      <c r="CA153" s="103"/>
      <c r="CB153" s="103"/>
      <c r="CC153" s="103"/>
      <c r="CD153" s="103"/>
      <c r="CE153" s="103"/>
      <c r="CF153" s="103"/>
      <c r="CG153" s="103"/>
      <c r="CH153" s="103"/>
      <c r="CI153" s="103"/>
      <c r="CJ153" s="103"/>
      <c r="CK153" s="103"/>
      <c r="CL153" s="103"/>
      <c r="CM153" s="103"/>
      <c r="CN153" s="103"/>
      <c r="CO153" s="103"/>
      <c r="CP153" s="103"/>
      <c r="CQ153" s="103"/>
      <c r="CR153" s="103"/>
      <c r="CS153" s="103"/>
      <c r="CT153" s="103"/>
      <c r="CU153" s="103"/>
      <c r="CV153" s="103"/>
      <c r="CW153" s="103"/>
      <c r="CX153" s="103"/>
      <c r="CY153" s="103"/>
      <c r="CZ153" s="103"/>
      <c r="DA153" s="103"/>
      <c r="DB153" s="103"/>
      <c r="DC153" s="103"/>
      <c r="DD153" s="103"/>
      <c r="DE153" s="103"/>
      <c r="DF153" s="103"/>
      <c r="DG153" s="103"/>
      <c r="DH153" s="103"/>
      <c r="DI153" s="103"/>
      <c r="DJ153" s="103"/>
      <c r="DK153" s="103"/>
      <c r="DL153" s="103"/>
      <c r="DM153" s="103"/>
      <c r="DN153" s="103"/>
      <c r="DO153" s="103"/>
      <c r="DP153" s="103"/>
      <c r="DQ153" s="103"/>
      <c r="DR153" s="103"/>
      <c r="DS153" s="103"/>
      <c r="DT153" s="103"/>
      <c r="DU153" s="103"/>
      <c r="DV153" s="103"/>
      <c r="DW153" s="103"/>
      <c r="DX153" s="103"/>
      <c r="DY153" s="103"/>
      <c r="DZ153" s="103"/>
      <c r="EA153" s="103"/>
      <c r="EB153" s="103"/>
      <c r="EC153" s="103"/>
      <c r="ED153" s="103"/>
      <c r="EE153" s="103"/>
      <c r="EF153" s="103"/>
      <c r="EG153" s="103"/>
      <c r="EH153" s="103"/>
      <c r="EI153" s="103"/>
      <c r="EJ153" s="103"/>
      <c r="EK153" s="103"/>
      <c r="EL153" s="103"/>
      <c r="EM153" s="103"/>
      <c r="EN153" s="103"/>
      <c r="EO153" s="103"/>
      <c r="EP153" s="103"/>
      <c r="EQ153" s="103"/>
      <c r="ER153" s="103"/>
      <c r="ES153" s="103"/>
      <c r="ET153" s="103"/>
      <c r="EU153" s="103"/>
      <c r="EV153" s="103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103"/>
      <c r="FG153" s="103"/>
      <c r="FH153" s="103"/>
      <c r="FI153" s="103"/>
      <c r="FJ153" s="103"/>
      <c r="FK153" s="103"/>
      <c r="FL153" s="103"/>
      <c r="FM153" s="103"/>
      <c r="FN153" s="103"/>
      <c r="FO153" s="103"/>
      <c r="FP153" s="103"/>
      <c r="FQ153" s="103"/>
      <c r="FR153" s="103"/>
      <c r="FS153" s="103"/>
      <c r="FT153" s="103"/>
      <c r="FU153" s="103"/>
      <c r="FV153" s="103"/>
      <c r="FW153" s="103"/>
      <c r="FX153" s="103"/>
      <c r="FY153" s="103"/>
      <c r="FZ153" s="103"/>
      <c r="GA153" s="103"/>
      <c r="GB153" s="103"/>
      <c r="GC153" s="103"/>
      <c r="GD153" s="103"/>
      <c r="GE153" s="103"/>
      <c r="GF153" s="103"/>
      <c r="GG153" s="103"/>
      <c r="GH153" s="103"/>
      <c r="GI153" s="103"/>
      <c r="GJ153" s="103"/>
      <c r="GK153" s="103"/>
      <c r="GL153" s="103"/>
      <c r="GM153" s="103"/>
      <c r="GN153" s="103"/>
      <c r="GO153" s="103"/>
      <c r="GP153" s="103"/>
      <c r="GQ153" s="103"/>
      <c r="GR153" s="103"/>
      <c r="GS153" s="103"/>
      <c r="GT153" s="103"/>
      <c r="GU153" s="103"/>
      <c r="GV153" s="103"/>
      <c r="GW153" s="103"/>
      <c r="GX153" s="103"/>
      <c r="GY153" s="103"/>
    </row>
    <row r="154" spans="1:207" s="135" customFormat="1" ht="20.25" customHeight="1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  <c r="CB154" s="103"/>
      <c r="CC154" s="103"/>
      <c r="CD154" s="103"/>
      <c r="CE154" s="103"/>
      <c r="CF154" s="103"/>
      <c r="CG154" s="103"/>
      <c r="CH154" s="103"/>
      <c r="CI154" s="103"/>
      <c r="CJ154" s="103"/>
      <c r="CK154" s="103"/>
      <c r="CL154" s="103"/>
      <c r="CM154" s="103"/>
      <c r="CN154" s="103"/>
      <c r="CO154" s="103"/>
      <c r="CP154" s="103"/>
      <c r="CQ154" s="103"/>
      <c r="CR154" s="103"/>
      <c r="CS154" s="103"/>
      <c r="CT154" s="103"/>
      <c r="CU154" s="103"/>
      <c r="CV154" s="103"/>
      <c r="CW154" s="103"/>
      <c r="CX154" s="103"/>
      <c r="CY154" s="103"/>
      <c r="CZ154" s="103"/>
      <c r="DA154" s="103"/>
      <c r="DB154" s="103"/>
      <c r="DC154" s="103"/>
      <c r="DD154" s="103"/>
      <c r="DE154" s="103"/>
      <c r="DF154" s="103"/>
      <c r="DG154" s="103"/>
      <c r="DH154" s="103"/>
      <c r="DI154" s="103"/>
      <c r="DJ154" s="103"/>
      <c r="DK154" s="103"/>
      <c r="DL154" s="103"/>
      <c r="DM154" s="103"/>
      <c r="DN154" s="103"/>
      <c r="DO154" s="103"/>
      <c r="DP154" s="103"/>
      <c r="DQ154" s="103"/>
      <c r="DR154" s="103"/>
      <c r="DS154" s="103"/>
      <c r="DT154" s="103"/>
      <c r="DU154" s="103"/>
      <c r="DV154" s="103"/>
      <c r="DW154" s="103"/>
      <c r="DX154" s="103"/>
      <c r="DY154" s="103"/>
      <c r="DZ154" s="103"/>
      <c r="EA154" s="103"/>
      <c r="EB154" s="103"/>
      <c r="EC154" s="103"/>
      <c r="ED154" s="103"/>
      <c r="EE154" s="103"/>
      <c r="EF154" s="103"/>
      <c r="EG154" s="103"/>
      <c r="EH154" s="103"/>
      <c r="EI154" s="103"/>
      <c r="EJ154" s="103"/>
      <c r="EK154" s="103"/>
      <c r="EL154" s="103"/>
      <c r="EM154" s="103"/>
      <c r="EN154" s="103"/>
      <c r="EO154" s="103"/>
      <c r="EP154" s="103"/>
      <c r="EQ154" s="103"/>
      <c r="ER154" s="103"/>
      <c r="ES154" s="103"/>
      <c r="ET154" s="103"/>
      <c r="EU154" s="103"/>
      <c r="EV154" s="103"/>
      <c r="EW154" s="103"/>
      <c r="EX154" s="103"/>
      <c r="EY154" s="103"/>
      <c r="EZ154" s="103"/>
      <c r="FA154" s="103"/>
      <c r="FB154" s="103"/>
      <c r="FC154" s="103"/>
      <c r="FD154" s="103"/>
      <c r="FE154" s="103"/>
      <c r="FF154" s="103"/>
      <c r="FG154" s="103"/>
      <c r="FH154" s="103"/>
      <c r="FI154" s="103"/>
      <c r="FJ154" s="103"/>
      <c r="FK154" s="103"/>
      <c r="FL154" s="103"/>
      <c r="FM154" s="103"/>
      <c r="FN154" s="103"/>
      <c r="FO154" s="103"/>
      <c r="FP154" s="103"/>
      <c r="FQ154" s="103"/>
      <c r="FR154" s="103"/>
      <c r="FS154" s="103"/>
      <c r="FT154" s="103"/>
      <c r="FU154" s="103"/>
      <c r="FV154" s="103"/>
      <c r="FW154" s="103"/>
      <c r="FX154" s="103"/>
      <c r="FY154" s="103"/>
      <c r="FZ154" s="103"/>
      <c r="GA154" s="103"/>
      <c r="GB154" s="103"/>
      <c r="GC154" s="103"/>
      <c r="GD154" s="103"/>
      <c r="GE154" s="103"/>
      <c r="GF154" s="103"/>
      <c r="GG154" s="103"/>
      <c r="GH154" s="103"/>
      <c r="GI154" s="103"/>
      <c r="GJ154" s="103"/>
      <c r="GK154" s="103"/>
      <c r="GL154" s="103"/>
      <c r="GM154" s="103"/>
      <c r="GN154" s="103"/>
      <c r="GO154" s="103"/>
      <c r="GP154" s="103"/>
      <c r="GQ154" s="103"/>
      <c r="GR154" s="103"/>
      <c r="GS154" s="103"/>
      <c r="GT154" s="103"/>
      <c r="GU154" s="103"/>
      <c r="GV154" s="103"/>
      <c r="GW154" s="103"/>
      <c r="GX154" s="103"/>
      <c r="GY154" s="103"/>
    </row>
    <row r="155" spans="1:207" s="135" customFormat="1" ht="20.25" customHeight="1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3"/>
      <c r="BW155" s="103"/>
      <c r="BX155" s="103"/>
      <c r="BY155" s="103"/>
      <c r="BZ155" s="103"/>
      <c r="CA155" s="103"/>
      <c r="CB155" s="103"/>
      <c r="CC155" s="103"/>
      <c r="CD155" s="103"/>
      <c r="CE155" s="103"/>
      <c r="CF155" s="103"/>
      <c r="CG155" s="103"/>
      <c r="CH155" s="103"/>
      <c r="CI155" s="103"/>
      <c r="CJ155" s="103"/>
      <c r="CK155" s="103"/>
      <c r="CL155" s="103"/>
      <c r="CM155" s="103"/>
      <c r="CN155" s="103"/>
      <c r="CO155" s="103"/>
      <c r="CP155" s="103"/>
      <c r="CQ155" s="103"/>
      <c r="CR155" s="103"/>
      <c r="CS155" s="103"/>
      <c r="CT155" s="103"/>
      <c r="CU155" s="103"/>
      <c r="CV155" s="103"/>
      <c r="CW155" s="103"/>
      <c r="CX155" s="103"/>
      <c r="CY155" s="103"/>
      <c r="CZ155" s="103"/>
      <c r="DA155" s="103"/>
      <c r="DB155" s="103"/>
      <c r="DC155" s="103"/>
      <c r="DD155" s="103"/>
      <c r="DE155" s="103"/>
      <c r="DF155" s="103"/>
      <c r="DG155" s="103"/>
      <c r="DH155" s="103"/>
      <c r="DI155" s="103"/>
      <c r="DJ155" s="103"/>
      <c r="DK155" s="103"/>
      <c r="DL155" s="103"/>
      <c r="DM155" s="103"/>
      <c r="DN155" s="103"/>
      <c r="DO155" s="103"/>
      <c r="DP155" s="103"/>
      <c r="DQ155" s="103"/>
      <c r="DR155" s="103"/>
      <c r="DS155" s="103"/>
      <c r="DT155" s="103"/>
      <c r="DU155" s="103"/>
      <c r="DV155" s="103"/>
      <c r="DW155" s="103"/>
      <c r="DX155" s="103"/>
      <c r="DY155" s="103"/>
      <c r="DZ155" s="103"/>
      <c r="EA155" s="103"/>
      <c r="EB155" s="103"/>
      <c r="EC155" s="103"/>
      <c r="ED155" s="103"/>
      <c r="EE155" s="103"/>
      <c r="EF155" s="103"/>
      <c r="EG155" s="103"/>
      <c r="EH155" s="103"/>
      <c r="EI155" s="103"/>
      <c r="EJ155" s="103"/>
      <c r="EK155" s="103"/>
      <c r="EL155" s="103"/>
      <c r="EM155" s="103"/>
      <c r="EN155" s="103"/>
      <c r="EO155" s="103"/>
      <c r="EP155" s="103"/>
      <c r="EQ155" s="103"/>
      <c r="ER155" s="103"/>
      <c r="ES155" s="103"/>
      <c r="ET155" s="103"/>
      <c r="EU155" s="103"/>
      <c r="EV155" s="103"/>
      <c r="EW155" s="103"/>
      <c r="EX155" s="103"/>
      <c r="EY155" s="103"/>
      <c r="EZ155" s="103"/>
      <c r="FA155" s="103"/>
      <c r="FB155" s="103"/>
      <c r="FC155" s="103"/>
      <c r="FD155" s="103"/>
      <c r="FE155" s="103"/>
      <c r="FF155" s="103"/>
      <c r="FG155" s="103"/>
      <c r="FH155" s="103"/>
      <c r="FI155" s="103"/>
      <c r="FJ155" s="103"/>
      <c r="FK155" s="103"/>
      <c r="FL155" s="103"/>
      <c r="FM155" s="103"/>
      <c r="FN155" s="103"/>
      <c r="FO155" s="103"/>
      <c r="FP155" s="103"/>
      <c r="FQ155" s="103"/>
      <c r="FR155" s="103"/>
      <c r="FS155" s="103"/>
      <c r="FT155" s="103"/>
      <c r="FU155" s="103"/>
      <c r="FV155" s="103"/>
      <c r="FW155" s="103"/>
      <c r="FX155" s="103"/>
      <c r="FY155" s="103"/>
      <c r="FZ155" s="103"/>
      <c r="GA155" s="103"/>
      <c r="GB155" s="103"/>
      <c r="GC155" s="103"/>
      <c r="GD155" s="103"/>
      <c r="GE155" s="103"/>
      <c r="GF155" s="103"/>
      <c r="GG155" s="103"/>
      <c r="GH155" s="103"/>
      <c r="GI155" s="103"/>
      <c r="GJ155" s="103"/>
      <c r="GK155" s="103"/>
      <c r="GL155" s="103"/>
      <c r="GM155" s="103"/>
      <c r="GN155" s="103"/>
      <c r="GO155" s="103"/>
      <c r="GP155" s="103"/>
      <c r="GQ155" s="103"/>
      <c r="GR155" s="103"/>
      <c r="GS155" s="103"/>
      <c r="GT155" s="103"/>
      <c r="GU155" s="103"/>
      <c r="GV155" s="103"/>
      <c r="GW155" s="103"/>
      <c r="GX155" s="103"/>
      <c r="GY155" s="103"/>
    </row>
    <row r="156" spans="1:207" s="135" customFormat="1" ht="20.25" customHeight="1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/>
      <c r="CK156" s="103"/>
      <c r="CL156" s="103"/>
      <c r="CM156" s="103"/>
      <c r="CN156" s="103"/>
      <c r="CO156" s="103"/>
      <c r="CP156" s="103"/>
      <c r="CQ156" s="103"/>
      <c r="CR156" s="103"/>
      <c r="CS156" s="103"/>
      <c r="CT156" s="103"/>
      <c r="CU156" s="103"/>
      <c r="CV156" s="103"/>
      <c r="CW156" s="103"/>
      <c r="CX156" s="103"/>
      <c r="CY156" s="103"/>
      <c r="CZ156" s="103"/>
      <c r="DA156" s="103"/>
      <c r="DB156" s="103"/>
      <c r="DC156" s="103"/>
      <c r="DD156" s="103"/>
      <c r="DE156" s="103"/>
      <c r="DF156" s="103"/>
      <c r="DG156" s="103"/>
      <c r="DH156" s="103"/>
      <c r="DI156" s="103"/>
      <c r="DJ156" s="103"/>
      <c r="DK156" s="103"/>
      <c r="DL156" s="103"/>
      <c r="DM156" s="103"/>
      <c r="DN156" s="103"/>
      <c r="DO156" s="103"/>
      <c r="DP156" s="103"/>
      <c r="DQ156" s="103"/>
      <c r="DR156" s="103"/>
      <c r="DS156" s="103"/>
      <c r="DT156" s="103"/>
      <c r="DU156" s="103"/>
      <c r="DV156" s="103"/>
      <c r="DW156" s="103"/>
      <c r="DX156" s="103"/>
      <c r="DY156" s="103"/>
      <c r="DZ156" s="103"/>
      <c r="EA156" s="103"/>
      <c r="EB156" s="103"/>
      <c r="EC156" s="103"/>
      <c r="ED156" s="103"/>
      <c r="EE156" s="103"/>
      <c r="EF156" s="103"/>
      <c r="EG156" s="103"/>
      <c r="EH156" s="103"/>
      <c r="EI156" s="103"/>
      <c r="EJ156" s="103"/>
      <c r="EK156" s="103"/>
      <c r="EL156" s="103"/>
      <c r="EM156" s="103"/>
      <c r="EN156" s="103"/>
      <c r="EO156" s="103"/>
      <c r="EP156" s="103"/>
      <c r="EQ156" s="103"/>
      <c r="ER156" s="103"/>
      <c r="ES156" s="103"/>
      <c r="ET156" s="103"/>
      <c r="EU156" s="103"/>
      <c r="EV156" s="103"/>
      <c r="EW156" s="103"/>
      <c r="EX156" s="103"/>
      <c r="EY156" s="103"/>
      <c r="EZ156" s="103"/>
      <c r="FA156" s="103"/>
      <c r="FB156" s="103"/>
      <c r="FC156" s="103"/>
      <c r="FD156" s="103"/>
      <c r="FE156" s="103"/>
      <c r="FF156" s="103"/>
      <c r="FG156" s="103"/>
      <c r="FH156" s="103"/>
      <c r="FI156" s="103"/>
      <c r="FJ156" s="103"/>
      <c r="FK156" s="103"/>
      <c r="FL156" s="103"/>
      <c r="FM156" s="103"/>
      <c r="FN156" s="103"/>
      <c r="FO156" s="103"/>
      <c r="FP156" s="103"/>
      <c r="FQ156" s="103"/>
      <c r="FR156" s="103"/>
      <c r="FS156" s="103"/>
      <c r="FT156" s="103"/>
      <c r="FU156" s="103"/>
      <c r="FV156" s="103"/>
      <c r="FW156" s="103"/>
      <c r="FX156" s="103"/>
      <c r="FY156" s="103"/>
      <c r="FZ156" s="103"/>
      <c r="GA156" s="103"/>
      <c r="GB156" s="103"/>
      <c r="GC156" s="103"/>
      <c r="GD156" s="103"/>
      <c r="GE156" s="103"/>
      <c r="GF156" s="103"/>
      <c r="GG156" s="103"/>
      <c r="GH156" s="103"/>
      <c r="GI156" s="103"/>
      <c r="GJ156" s="103"/>
      <c r="GK156" s="103"/>
      <c r="GL156" s="103"/>
      <c r="GM156" s="103"/>
      <c r="GN156" s="103"/>
      <c r="GO156" s="103"/>
      <c r="GP156" s="103"/>
      <c r="GQ156" s="103"/>
      <c r="GR156" s="103"/>
      <c r="GS156" s="103"/>
      <c r="GT156" s="103"/>
      <c r="GU156" s="103"/>
      <c r="GV156" s="103"/>
      <c r="GW156" s="103"/>
      <c r="GX156" s="103"/>
      <c r="GY156" s="103"/>
    </row>
    <row r="157" spans="1:207" s="135" customFormat="1" ht="20.25" customHeight="1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  <c r="CH157" s="103"/>
      <c r="CI157" s="103"/>
      <c r="CJ157" s="103"/>
      <c r="CK157" s="103"/>
      <c r="CL157" s="103"/>
      <c r="CM157" s="103"/>
      <c r="CN157" s="103"/>
      <c r="CO157" s="103"/>
      <c r="CP157" s="103"/>
      <c r="CQ157" s="103"/>
      <c r="CR157" s="103"/>
      <c r="CS157" s="103"/>
      <c r="CT157" s="103"/>
      <c r="CU157" s="103"/>
      <c r="CV157" s="103"/>
      <c r="CW157" s="103"/>
      <c r="CX157" s="103"/>
      <c r="CY157" s="103"/>
      <c r="CZ157" s="103"/>
      <c r="DA157" s="103"/>
      <c r="DB157" s="103"/>
      <c r="DC157" s="103"/>
      <c r="DD157" s="103"/>
      <c r="DE157" s="103"/>
      <c r="DF157" s="103"/>
      <c r="DG157" s="103"/>
      <c r="DH157" s="103"/>
      <c r="DI157" s="103"/>
      <c r="DJ157" s="103"/>
      <c r="DK157" s="103"/>
      <c r="DL157" s="103"/>
      <c r="DM157" s="103"/>
      <c r="DN157" s="103"/>
      <c r="DO157" s="103"/>
      <c r="DP157" s="103"/>
      <c r="DQ157" s="103"/>
      <c r="DR157" s="103"/>
      <c r="DS157" s="103"/>
      <c r="DT157" s="103"/>
      <c r="DU157" s="103"/>
      <c r="DV157" s="103"/>
      <c r="DW157" s="103"/>
      <c r="DX157" s="103"/>
      <c r="DY157" s="103"/>
      <c r="DZ157" s="103"/>
      <c r="EA157" s="103"/>
      <c r="EB157" s="103"/>
      <c r="EC157" s="103"/>
      <c r="ED157" s="103"/>
      <c r="EE157" s="103"/>
      <c r="EF157" s="103"/>
      <c r="EG157" s="103"/>
      <c r="EH157" s="103"/>
      <c r="EI157" s="103"/>
      <c r="EJ157" s="103"/>
      <c r="EK157" s="103"/>
      <c r="EL157" s="103"/>
      <c r="EM157" s="103"/>
      <c r="EN157" s="103"/>
      <c r="EO157" s="103"/>
      <c r="EP157" s="103"/>
      <c r="EQ157" s="103"/>
      <c r="ER157" s="103"/>
      <c r="ES157" s="103"/>
      <c r="ET157" s="103"/>
      <c r="EU157" s="103"/>
      <c r="EV157" s="103"/>
      <c r="EW157" s="103"/>
      <c r="EX157" s="103"/>
      <c r="EY157" s="103"/>
      <c r="EZ157" s="103"/>
      <c r="FA157" s="103"/>
      <c r="FB157" s="103"/>
      <c r="FC157" s="103"/>
      <c r="FD157" s="103"/>
      <c r="FE157" s="103"/>
      <c r="FF157" s="103"/>
      <c r="FG157" s="103"/>
      <c r="FH157" s="103"/>
      <c r="FI157" s="103"/>
      <c r="FJ157" s="103"/>
      <c r="FK157" s="103"/>
      <c r="FL157" s="103"/>
      <c r="FM157" s="103"/>
      <c r="FN157" s="103"/>
      <c r="FO157" s="103"/>
      <c r="FP157" s="103"/>
      <c r="FQ157" s="103"/>
      <c r="FR157" s="103"/>
      <c r="FS157" s="103"/>
      <c r="FT157" s="103"/>
      <c r="FU157" s="103"/>
      <c r="FV157" s="103"/>
      <c r="FW157" s="103"/>
      <c r="FX157" s="103"/>
      <c r="FY157" s="103"/>
      <c r="FZ157" s="103"/>
      <c r="GA157" s="103"/>
      <c r="GB157" s="103"/>
      <c r="GC157" s="103"/>
      <c r="GD157" s="103"/>
      <c r="GE157" s="103"/>
      <c r="GF157" s="103"/>
      <c r="GG157" s="103"/>
      <c r="GH157" s="103"/>
      <c r="GI157" s="103"/>
      <c r="GJ157" s="103"/>
      <c r="GK157" s="103"/>
      <c r="GL157" s="103"/>
      <c r="GM157" s="103"/>
      <c r="GN157" s="103"/>
      <c r="GO157" s="103"/>
      <c r="GP157" s="103"/>
      <c r="GQ157" s="103"/>
      <c r="GR157" s="103"/>
      <c r="GS157" s="103"/>
      <c r="GT157" s="103"/>
      <c r="GU157" s="103"/>
      <c r="GV157" s="103"/>
      <c r="GW157" s="103"/>
      <c r="GX157" s="103"/>
      <c r="GY157" s="103"/>
    </row>
    <row r="158" spans="1:207" s="135" customFormat="1" ht="20.25" customHeight="1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3"/>
      <c r="BW158" s="103"/>
      <c r="BX158" s="103"/>
      <c r="BY158" s="103"/>
      <c r="BZ158" s="103"/>
      <c r="CA158" s="103"/>
      <c r="CB158" s="103"/>
      <c r="CC158" s="103"/>
      <c r="CD158" s="103"/>
      <c r="CE158" s="103"/>
      <c r="CF158" s="103"/>
      <c r="CG158" s="103"/>
      <c r="CH158" s="103"/>
      <c r="CI158" s="103"/>
      <c r="CJ158" s="103"/>
      <c r="CK158" s="103"/>
      <c r="CL158" s="103"/>
      <c r="CM158" s="103"/>
      <c r="CN158" s="103"/>
      <c r="CO158" s="103"/>
      <c r="CP158" s="103"/>
      <c r="CQ158" s="103"/>
      <c r="CR158" s="103"/>
      <c r="CS158" s="103"/>
      <c r="CT158" s="103"/>
      <c r="CU158" s="103"/>
      <c r="CV158" s="103"/>
      <c r="CW158" s="103"/>
      <c r="CX158" s="103"/>
      <c r="CY158" s="103"/>
      <c r="CZ158" s="103"/>
      <c r="DA158" s="103"/>
      <c r="DB158" s="103"/>
      <c r="DC158" s="103"/>
      <c r="DD158" s="103"/>
      <c r="DE158" s="103"/>
      <c r="DF158" s="103"/>
      <c r="DG158" s="103"/>
      <c r="DH158" s="103"/>
      <c r="DI158" s="103"/>
      <c r="DJ158" s="103"/>
      <c r="DK158" s="103"/>
      <c r="DL158" s="103"/>
      <c r="DM158" s="103"/>
      <c r="DN158" s="103"/>
      <c r="DO158" s="103"/>
      <c r="DP158" s="103"/>
      <c r="DQ158" s="103"/>
      <c r="DR158" s="103"/>
      <c r="DS158" s="103"/>
      <c r="DT158" s="103"/>
      <c r="DU158" s="103"/>
      <c r="DV158" s="103"/>
      <c r="DW158" s="103"/>
      <c r="DX158" s="103"/>
      <c r="DY158" s="103"/>
      <c r="DZ158" s="103"/>
      <c r="EA158" s="103"/>
      <c r="EB158" s="103"/>
      <c r="EC158" s="103"/>
      <c r="ED158" s="103"/>
      <c r="EE158" s="103"/>
      <c r="EF158" s="103"/>
      <c r="EG158" s="103"/>
      <c r="EH158" s="103"/>
      <c r="EI158" s="103"/>
      <c r="EJ158" s="103"/>
      <c r="EK158" s="103"/>
      <c r="EL158" s="103"/>
      <c r="EM158" s="103"/>
      <c r="EN158" s="103"/>
      <c r="EO158" s="103"/>
      <c r="EP158" s="103"/>
      <c r="EQ158" s="103"/>
      <c r="ER158" s="103"/>
      <c r="ES158" s="103"/>
      <c r="ET158" s="103"/>
      <c r="EU158" s="103"/>
      <c r="EV158" s="103"/>
      <c r="EW158" s="103"/>
      <c r="EX158" s="103"/>
      <c r="EY158" s="103"/>
      <c r="EZ158" s="103"/>
      <c r="FA158" s="103"/>
      <c r="FB158" s="103"/>
      <c r="FC158" s="103"/>
      <c r="FD158" s="103"/>
      <c r="FE158" s="103"/>
      <c r="FF158" s="103"/>
      <c r="FG158" s="103"/>
      <c r="FH158" s="103"/>
      <c r="FI158" s="103"/>
      <c r="FJ158" s="103"/>
      <c r="FK158" s="103"/>
      <c r="FL158" s="103"/>
      <c r="FM158" s="103"/>
      <c r="FN158" s="103"/>
      <c r="FO158" s="103"/>
      <c r="FP158" s="103"/>
      <c r="FQ158" s="103"/>
      <c r="FR158" s="103"/>
      <c r="FS158" s="103"/>
      <c r="FT158" s="103"/>
      <c r="FU158" s="103"/>
      <c r="FV158" s="103"/>
      <c r="FW158" s="103"/>
      <c r="FX158" s="103"/>
      <c r="FY158" s="103"/>
      <c r="FZ158" s="103"/>
      <c r="GA158" s="103"/>
      <c r="GB158" s="103"/>
      <c r="GC158" s="103"/>
      <c r="GD158" s="103"/>
      <c r="GE158" s="103"/>
      <c r="GF158" s="103"/>
      <c r="GG158" s="103"/>
      <c r="GH158" s="103"/>
      <c r="GI158" s="103"/>
      <c r="GJ158" s="103"/>
      <c r="GK158" s="103"/>
      <c r="GL158" s="103"/>
      <c r="GM158" s="103"/>
      <c r="GN158" s="103"/>
      <c r="GO158" s="103"/>
      <c r="GP158" s="103"/>
      <c r="GQ158" s="103"/>
      <c r="GR158" s="103"/>
      <c r="GS158" s="103"/>
      <c r="GT158" s="103"/>
      <c r="GU158" s="103"/>
      <c r="GV158" s="103"/>
      <c r="GW158" s="103"/>
      <c r="GX158" s="103"/>
      <c r="GY158" s="103"/>
    </row>
    <row r="159" spans="1:207" s="135" customFormat="1" ht="20.25" customHeight="1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3"/>
      <c r="BW159" s="103"/>
      <c r="BX159" s="103"/>
      <c r="BY159" s="103"/>
      <c r="BZ159" s="103"/>
      <c r="CA159" s="103"/>
      <c r="CB159" s="103"/>
      <c r="CC159" s="103"/>
      <c r="CD159" s="103"/>
      <c r="CE159" s="103"/>
      <c r="CF159" s="103"/>
      <c r="CG159" s="103"/>
      <c r="CH159" s="103"/>
      <c r="CI159" s="103"/>
      <c r="CJ159" s="103"/>
      <c r="CK159" s="103"/>
      <c r="CL159" s="103"/>
      <c r="CM159" s="103"/>
      <c r="CN159" s="103"/>
      <c r="CO159" s="103"/>
      <c r="CP159" s="103"/>
      <c r="CQ159" s="103"/>
      <c r="CR159" s="103"/>
      <c r="CS159" s="103"/>
      <c r="CT159" s="103"/>
      <c r="CU159" s="103"/>
      <c r="CV159" s="103"/>
      <c r="CW159" s="103"/>
      <c r="CX159" s="103"/>
      <c r="CY159" s="103"/>
      <c r="CZ159" s="103"/>
      <c r="DA159" s="103"/>
      <c r="DB159" s="103"/>
      <c r="DC159" s="103"/>
      <c r="DD159" s="103"/>
      <c r="DE159" s="103"/>
      <c r="DF159" s="103"/>
      <c r="DG159" s="103"/>
      <c r="DH159" s="103"/>
      <c r="DI159" s="103"/>
      <c r="DJ159" s="103"/>
      <c r="DK159" s="103"/>
      <c r="DL159" s="103"/>
      <c r="DM159" s="103"/>
      <c r="DN159" s="103"/>
      <c r="DO159" s="103"/>
      <c r="DP159" s="103"/>
      <c r="DQ159" s="103"/>
      <c r="DR159" s="103"/>
      <c r="DS159" s="103"/>
      <c r="DT159" s="103"/>
      <c r="DU159" s="103"/>
      <c r="DV159" s="103"/>
      <c r="DW159" s="103"/>
      <c r="DX159" s="103"/>
      <c r="DY159" s="103"/>
      <c r="DZ159" s="103"/>
      <c r="EA159" s="103"/>
      <c r="EB159" s="103"/>
      <c r="EC159" s="103"/>
      <c r="ED159" s="103"/>
      <c r="EE159" s="103"/>
      <c r="EF159" s="103"/>
      <c r="EG159" s="103"/>
      <c r="EH159" s="103"/>
      <c r="EI159" s="103"/>
      <c r="EJ159" s="103"/>
      <c r="EK159" s="103"/>
      <c r="EL159" s="103"/>
      <c r="EM159" s="103"/>
      <c r="EN159" s="103"/>
      <c r="EO159" s="103"/>
      <c r="EP159" s="103"/>
      <c r="EQ159" s="103"/>
      <c r="ER159" s="103"/>
      <c r="ES159" s="103"/>
      <c r="ET159" s="103"/>
      <c r="EU159" s="103"/>
      <c r="EV159" s="103"/>
      <c r="EW159" s="103"/>
      <c r="EX159" s="103"/>
      <c r="EY159" s="103"/>
      <c r="EZ159" s="103"/>
      <c r="FA159" s="103"/>
      <c r="FB159" s="103"/>
      <c r="FC159" s="103"/>
      <c r="FD159" s="103"/>
      <c r="FE159" s="103"/>
      <c r="FF159" s="103"/>
      <c r="FG159" s="103"/>
      <c r="FH159" s="103"/>
      <c r="FI159" s="103"/>
      <c r="FJ159" s="103"/>
      <c r="FK159" s="103"/>
      <c r="FL159" s="103"/>
      <c r="FM159" s="103"/>
      <c r="FN159" s="103"/>
      <c r="FO159" s="103"/>
      <c r="FP159" s="103"/>
      <c r="FQ159" s="103"/>
      <c r="FR159" s="103"/>
      <c r="FS159" s="103"/>
      <c r="FT159" s="103"/>
      <c r="FU159" s="103"/>
      <c r="FV159" s="103"/>
      <c r="FW159" s="103"/>
      <c r="FX159" s="103"/>
      <c r="FY159" s="103"/>
      <c r="FZ159" s="103"/>
      <c r="GA159" s="103"/>
      <c r="GB159" s="103"/>
      <c r="GC159" s="103"/>
      <c r="GD159" s="103"/>
      <c r="GE159" s="103"/>
      <c r="GF159" s="103"/>
      <c r="GG159" s="103"/>
      <c r="GH159" s="103"/>
      <c r="GI159" s="103"/>
      <c r="GJ159" s="103"/>
      <c r="GK159" s="103"/>
      <c r="GL159" s="103"/>
      <c r="GM159" s="103"/>
      <c r="GN159" s="103"/>
      <c r="GO159" s="103"/>
      <c r="GP159" s="103"/>
      <c r="GQ159" s="103"/>
      <c r="GR159" s="103"/>
      <c r="GS159" s="103"/>
      <c r="GT159" s="103"/>
      <c r="GU159" s="103"/>
      <c r="GV159" s="103"/>
      <c r="GW159" s="103"/>
      <c r="GX159" s="103"/>
      <c r="GY159" s="103"/>
    </row>
    <row r="160" spans="1:207" s="135" customFormat="1" ht="20.25" customHeight="1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103"/>
      <c r="BZ160" s="103"/>
      <c r="CA160" s="103"/>
      <c r="CB160" s="103"/>
      <c r="CC160" s="103"/>
      <c r="CD160" s="103"/>
      <c r="CE160" s="103"/>
      <c r="CF160" s="103"/>
      <c r="CG160" s="103"/>
      <c r="CH160" s="103"/>
      <c r="CI160" s="103"/>
      <c r="CJ160" s="103"/>
      <c r="CK160" s="103"/>
      <c r="CL160" s="103"/>
      <c r="CM160" s="103"/>
      <c r="CN160" s="103"/>
      <c r="CO160" s="103"/>
      <c r="CP160" s="103"/>
      <c r="CQ160" s="103"/>
      <c r="CR160" s="103"/>
      <c r="CS160" s="103"/>
      <c r="CT160" s="103"/>
      <c r="CU160" s="103"/>
      <c r="CV160" s="103"/>
      <c r="CW160" s="103"/>
      <c r="CX160" s="103"/>
      <c r="CY160" s="103"/>
      <c r="CZ160" s="103"/>
      <c r="DA160" s="103"/>
      <c r="DB160" s="103"/>
      <c r="DC160" s="103"/>
      <c r="DD160" s="103"/>
      <c r="DE160" s="103"/>
      <c r="DF160" s="103"/>
      <c r="DG160" s="103"/>
      <c r="DH160" s="103"/>
      <c r="DI160" s="103"/>
      <c r="DJ160" s="103"/>
      <c r="DK160" s="103"/>
      <c r="DL160" s="103"/>
      <c r="DM160" s="103"/>
      <c r="DN160" s="103"/>
      <c r="DO160" s="103"/>
      <c r="DP160" s="103"/>
      <c r="DQ160" s="103"/>
      <c r="DR160" s="103"/>
      <c r="DS160" s="103"/>
      <c r="DT160" s="103"/>
      <c r="DU160" s="103"/>
      <c r="DV160" s="103"/>
      <c r="DW160" s="103"/>
      <c r="DX160" s="103"/>
      <c r="DY160" s="103"/>
      <c r="DZ160" s="103"/>
      <c r="EA160" s="103"/>
      <c r="EB160" s="103"/>
      <c r="EC160" s="103"/>
      <c r="ED160" s="103"/>
      <c r="EE160" s="103"/>
      <c r="EF160" s="103"/>
      <c r="EG160" s="103"/>
      <c r="EH160" s="103"/>
      <c r="EI160" s="103"/>
      <c r="EJ160" s="103"/>
      <c r="EK160" s="103"/>
      <c r="EL160" s="103"/>
      <c r="EM160" s="103"/>
      <c r="EN160" s="103"/>
      <c r="EO160" s="103"/>
      <c r="EP160" s="103"/>
      <c r="EQ160" s="103"/>
      <c r="ER160" s="103"/>
      <c r="ES160" s="103"/>
      <c r="ET160" s="103"/>
      <c r="EU160" s="103"/>
      <c r="EV160" s="103"/>
      <c r="EW160" s="103"/>
      <c r="EX160" s="103"/>
      <c r="EY160" s="103"/>
      <c r="EZ160" s="103"/>
      <c r="FA160" s="103"/>
      <c r="FB160" s="103"/>
      <c r="FC160" s="103"/>
      <c r="FD160" s="103"/>
      <c r="FE160" s="103"/>
      <c r="FF160" s="103"/>
      <c r="FG160" s="103"/>
      <c r="FH160" s="103"/>
      <c r="FI160" s="103"/>
      <c r="FJ160" s="103"/>
      <c r="FK160" s="103"/>
      <c r="FL160" s="103"/>
      <c r="FM160" s="103"/>
      <c r="FN160" s="103"/>
      <c r="FO160" s="103"/>
      <c r="FP160" s="103"/>
      <c r="FQ160" s="103"/>
      <c r="FR160" s="103"/>
      <c r="FS160" s="103"/>
      <c r="FT160" s="103"/>
      <c r="FU160" s="103"/>
      <c r="FV160" s="103"/>
      <c r="FW160" s="103"/>
      <c r="FX160" s="103"/>
      <c r="FY160" s="103"/>
      <c r="FZ160" s="103"/>
      <c r="GA160" s="103"/>
      <c r="GB160" s="103"/>
      <c r="GC160" s="103"/>
      <c r="GD160" s="103"/>
      <c r="GE160" s="103"/>
      <c r="GF160" s="103"/>
      <c r="GG160" s="103"/>
      <c r="GH160" s="103"/>
      <c r="GI160" s="103"/>
      <c r="GJ160" s="103"/>
      <c r="GK160" s="103"/>
      <c r="GL160" s="103"/>
      <c r="GM160" s="103"/>
      <c r="GN160" s="103"/>
      <c r="GO160" s="103"/>
      <c r="GP160" s="103"/>
      <c r="GQ160" s="103"/>
      <c r="GR160" s="103"/>
      <c r="GS160" s="103"/>
      <c r="GT160" s="103"/>
      <c r="GU160" s="103"/>
      <c r="GV160" s="103"/>
      <c r="GW160" s="103"/>
      <c r="GX160" s="103"/>
      <c r="GY160" s="103"/>
    </row>
    <row r="161" spans="1:207" s="135" customFormat="1" ht="20.25" customHeight="1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  <c r="CB161" s="103"/>
      <c r="CC161" s="103"/>
      <c r="CD161" s="103"/>
      <c r="CE161" s="103"/>
      <c r="CF161" s="103"/>
      <c r="CG161" s="103"/>
      <c r="CH161" s="103"/>
      <c r="CI161" s="103"/>
      <c r="CJ161" s="103"/>
      <c r="CK161" s="103"/>
      <c r="CL161" s="103"/>
      <c r="CM161" s="103"/>
      <c r="CN161" s="103"/>
      <c r="CO161" s="103"/>
      <c r="CP161" s="103"/>
      <c r="CQ161" s="103"/>
      <c r="CR161" s="103"/>
      <c r="CS161" s="103"/>
      <c r="CT161" s="103"/>
      <c r="CU161" s="103"/>
      <c r="CV161" s="103"/>
      <c r="CW161" s="103"/>
      <c r="CX161" s="103"/>
      <c r="CY161" s="103"/>
      <c r="CZ161" s="103"/>
      <c r="DA161" s="103"/>
      <c r="DB161" s="103"/>
      <c r="DC161" s="103"/>
      <c r="DD161" s="103"/>
      <c r="DE161" s="103"/>
      <c r="DF161" s="103"/>
      <c r="DG161" s="103"/>
      <c r="DH161" s="103"/>
      <c r="DI161" s="103"/>
      <c r="DJ161" s="103"/>
      <c r="DK161" s="103"/>
      <c r="DL161" s="103"/>
      <c r="DM161" s="103"/>
      <c r="DN161" s="103"/>
      <c r="DO161" s="103"/>
      <c r="DP161" s="103"/>
      <c r="DQ161" s="103"/>
      <c r="DR161" s="103"/>
      <c r="DS161" s="103"/>
      <c r="DT161" s="103"/>
      <c r="DU161" s="103"/>
      <c r="DV161" s="103"/>
      <c r="DW161" s="103"/>
      <c r="DX161" s="103"/>
      <c r="DY161" s="103"/>
      <c r="DZ161" s="103"/>
      <c r="EA161" s="103"/>
      <c r="EB161" s="103"/>
      <c r="EC161" s="103"/>
      <c r="ED161" s="103"/>
      <c r="EE161" s="103"/>
      <c r="EF161" s="103"/>
      <c r="EG161" s="103"/>
      <c r="EH161" s="103"/>
      <c r="EI161" s="103"/>
      <c r="EJ161" s="103"/>
      <c r="EK161" s="103"/>
      <c r="EL161" s="103"/>
      <c r="EM161" s="103"/>
      <c r="EN161" s="103"/>
      <c r="EO161" s="103"/>
      <c r="EP161" s="103"/>
      <c r="EQ161" s="103"/>
      <c r="ER161" s="103"/>
      <c r="ES161" s="103"/>
      <c r="ET161" s="103"/>
      <c r="EU161" s="103"/>
      <c r="EV161" s="103"/>
      <c r="EW161" s="103"/>
      <c r="EX161" s="103"/>
      <c r="EY161" s="103"/>
      <c r="EZ161" s="103"/>
      <c r="FA161" s="103"/>
      <c r="FB161" s="103"/>
      <c r="FC161" s="103"/>
      <c r="FD161" s="103"/>
      <c r="FE161" s="103"/>
      <c r="FF161" s="103"/>
      <c r="FG161" s="103"/>
      <c r="FH161" s="103"/>
      <c r="FI161" s="103"/>
      <c r="FJ161" s="103"/>
      <c r="FK161" s="103"/>
      <c r="FL161" s="103"/>
      <c r="FM161" s="103"/>
      <c r="FN161" s="103"/>
      <c r="FO161" s="103"/>
      <c r="FP161" s="103"/>
      <c r="FQ161" s="103"/>
      <c r="FR161" s="103"/>
      <c r="FS161" s="103"/>
      <c r="FT161" s="103"/>
      <c r="FU161" s="103"/>
      <c r="FV161" s="103"/>
      <c r="FW161" s="103"/>
      <c r="FX161" s="103"/>
      <c r="FY161" s="103"/>
      <c r="FZ161" s="103"/>
      <c r="GA161" s="103"/>
      <c r="GB161" s="103"/>
      <c r="GC161" s="103"/>
      <c r="GD161" s="103"/>
      <c r="GE161" s="103"/>
      <c r="GF161" s="103"/>
      <c r="GG161" s="103"/>
      <c r="GH161" s="103"/>
      <c r="GI161" s="103"/>
      <c r="GJ161" s="103"/>
      <c r="GK161" s="103"/>
      <c r="GL161" s="103"/>
      <c r="GM161" s="103"/>
      <c r="GN161" s="103"/>
      <c r="GO161" s="103"/>
      <c r="GP161" s="103"/>
      <c r="GQ161" s="103"/>
      <c r="GR161" s="103"/>
      <c r="GS161" s="103"/>
      <c r="GT161" s="103"/>
      <c r="GU161" s="103"/>
      <c r="GV161" s="103"/>
      <c r="GW161" s="103"/>
      <c r="GX161" s="103"/>
      <c r="GY161" s="103"/>
    </row>
    <row r="162" spans="1:207" s="135" customFormat="1" ht="20.25" customHeight="1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103"/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3"/>
      <c r="CK162" s="103"/>
      <c r="CL162" s="103"/>
      <c r="CM162" s="103"/>
      <c r="CN162" s="103"/>
      <c r="CO162" s="103"/>
      <c r="CP162" s="103"/>
      <c r="CQ162" s="103"/>
      <c r="CR162" s="103"/>
      <c r="CS162" s="103"/>
      <c r="CT162" s="103"/>
      <c r="CU162" s="103"/>
      <c r="CV162" s="103"/>
      <c r="CW162" s="103"/>
      <c r="CX162" s="103"/>
      <c r="CY162" s="103"/>
      <c r="CZ162" s="103"/>
      <c r="DA162" s="103"/>
      <c r="DB162" s="103"/>
      <c r="DC162" s="103"/>
      <c r="DD162" s="103"/>
      <c r="DE162" s="103"/>
      <c r="DF162" s="103"/>
      <c r="DG162" s="103"/>
      <c r="DH162" s="103"/>
      <c r="DI162" s="103"/>
      <c r="DJ162" s="103"/>
      <c r="DK162" s="103"/>
      <c r="DL162" s="103"/>
      <c r="DM162" s="103"/>
      <c r="DN162" s="103"/>
      <c r="DO162" s="103"/>
      <c r="DP162" s="103"/>
      <c r="DQ162" s="103"/>
      <c r="DR162" s="103"/>
      <c r="DS162" s="103"/>
      <c r="DT162" s="103"/>
      <c r="DU162" s="103"/>
      <c r="DV162" s="103"/>
      <c r="DW162" s="103"/>
      <c r="DX162" s="103"/>
      <c r="DY162" s="103"/>
      <c r="DZ162" s="103"/>
      <c r="EA162" s="103"/>
      <c r="EB162" s="103"/>
      <c r="EC162" s="103"/>
      <c r="ED162" s="103"/>
      <c r="EE162" s="103"/>
      <c r="EF162" s="103"/>
      <c r="EG162" s="103"/>
      <c r="EH162" s="103"/>
      <c r="EI162" s="103"/>
      <c r="EJ162" s="103"/>
      <c r="EK162" s="103"/>
      <c r="EL162" s="103"/>
      <c r="EM162" s="103"/>
      <c r="EN162" s="103"/>
      <c r="EO162" s="103"/>
      <c r="EP162" s="103"/>
      <c r="EQ162" s="103"/>
      <c r="ER162" s="103"/>
      <c r="ES162" s="103"/>
      <c r="ET162" s="103"/>
      <c r="EU162" s="103"/>
      <c r="EV162" s="103"/>
      <c r="EW162" s="103"/>
      <c r="EX162" s="103"/>
      <c r="EY162" s="103"/>
      <c r="EZ162" s="103"/>
      <c r="FA162" s="103"/>
      <c r="FB162" s="103"/>
      <c r="FC162" s="103"/>
      <c r="FD162" s="103"/>
      <c r="FE162" s="103"/>
      <c r="FF162" s="103"/>
      <c r="FG162" s="103"/>
      <c r="FH162" s="103"/>
      <c r="FI162" s="103"/>
      <c r="FJ162" s="103"/>
      <c r="FK162" s="103"/>
      <c r="FL162" s="103"/>
      <c r="FM162" s="103"/>
      <c r="FN162" s="103"/>
      <c r="FO162" s="103"/>
      <c r="FP162" s="103"/>
      <c r="FQ162" s="103"/>
      <c r="FR162" s="103"/>
      <c r="FS162" s="103"/>
      <c r="FT162" s="103"/>
      <c r="FU162" s="103"/>
      <c r="FV162" s="103"/>
      <c r="FW162" s="103"/>
      <c r="FX162" s="103"/>
      <c r="FY162" s="103"/>
      <c r="FZ162" s="103"/>
      <c r="GA162" s="103"/>
      <c r="GB162" s="103"/>
      <c r="GC162" s="103"/>
      <c r="GD162" s="103"/>
      <c r="GE162" s="103"/>
      <c r="GF162" s="103"/>
      <c r="GG162" s="103"/>
      <c r="GH162" s="103"/>
      <c r="GI162" s="103"/>
      <c r="GJ162" s="103"/>
      <c r="GK162" s="103"/>
      <c r="GL162" s="103"/>
      <c r="GM162" s="103"/>
      <c r="GN162" s="103"/>
      <c r="GO162" s="103"/>
      <c r="GP162" s="103"/>
      <c r="GQ162" s="103"/>
      <c r="GR162" s="103"/>
      <c r="GS162" s="103"/>
      <c r="GT162" s="103"/>
      <c r="GU162" s="103"/>
      <c r="GV162" s="103"/>
      <c r="GW162" s="103"/>
      <c r="GX162" s="103"/>
      <c r="GY162" s="103"/>
    </row>
    <row r="163" spans="1:207" s="135" customFormat="1" ht="20.25" customHeight="1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  <c r="CH163" s="103"/>
      <c r="CI163" s="103"/>
      <c r="CJ163" s="103"/>
      <c r="CK163" s="103"/>
      <c r="CL163" s="103"/>
      <c r="CM163" s="103"/>
      <c r="CN163" s="103"/>
      <c r="CO163" s="103"/>
      <c r="CP163" s="103"/>
      <c r="CQ163" s="103"/>
      <c r="CR163" s="103"/>
      <c r="CS163" s="103"/>
      <c r="CT163" s="103"/>
      <c r="CU163" s="103"/>
      <c r="CV163" s="103"/>
      <c r="CW163" s="103"/>
      <c r="CX163" s="103"/>
      <c r="CY163" s="103"/>
      <c r="CZ163" s="103"/>
      <c r="DA163" s="103"/>
      <c r="DB163" s="103"/>
      <c r="DC163" s="103"/>
      <c r="DD163" s="103"/>
      <c r="DE163" s="103"/>
      <c r="DF163" s="103"/>
      <c r="DG163" s="103"/>
      <c r="DH163" s="103"/>
      <c r="DI163" s="103"/>
      <c r="DJ163" s="103"/>
      <c r="DK163" s="103"/>
      <c r="DL163" s="103"/>
      <c r="DM163" s="103"/>
      <c r="DN163" s="103"/>
      <c r="DO163" s="103"/>
      <c r="DP163" s="103"/>
      <c r="DQ163" s="103"/>
      <c r="DR163" s="103"/>
      <c r="DS163" s="103"/>
      <c r="DT163" s="103"/>
      <c r="DU163" s="103"/>
      <c r="DV163" s="103"/>
      <c r="DW163" s="103"/>
      <c r="DX163" s="103"/>
      <c r="DY163" s="103"/>
      <c r="DZ163" s="103"/>
      <c r="EA163" s="103"/>
      <c r="EB163" s="103"/>
      <c r="EC163" s="103"/>
      <c r="ED163" s="103"/>
      <c r="EE163" s="103"/>
      <c r="EF163" s="103"/>
      <c r="EG163" s="103"/>
      <c r="EH163" s="103"/>
      <c r="EI163" s="103"/>
      <c r="EJ163" s="103"/>
      <c r="EK163" s="103"/>
      <c r="EL163" s="103"/>
      <c r="EM163" s="103"/>
      <c r="EN163" s="103"/>
      <c r="EO163" s="103"/>
      <c r="EP163" s="103"/>
      <c r="EQ163" s="103"/>
      <c r="ER163" s="103"/>
      <c r="ES163" s="103"/>
      <c r="ET163" s="103"/>
      <c r="EU163" s="103"/>
      <c r="EV163" s="103"/>
      <c r="EW163" s="103"/>
      <c r="EX163" s="103"/>
      <c r="EY163" s="103"/>
      <c r="EZ163" s="103"/>
      <c r="FA163" s="103"/>
      <c r="FB163" s="103"/>
      <c r="FC163" s="103"/>
      <c r="FD163" s="103"/>
      <c r="FE163" s="103"/>
      <c r="FF163" s="103"/>
      <c r="FG163" s="103"/>
      <c r="FH163" s="103"/>
      <c r="FI163" s="103"/>
      <c r="FJ163" s="103"/>
      <c r="FK163" s="103"/>
      <c r="FL163" s="103"/>
      <c r="FM163" s="103"/>
      <c r="FN163" s="103"/>
      <c r="FO163" s="103"/>
      <c r="FP163" s="103"/>
      <c r="FQ163" s="103"/>
      <c r="FR163" s="103"/>
      <c r="FS163" s="103"/>
      <c r="FT163" s="103"/>
      <c r="FU163" s="103"/>
      <c r="FV163" s="103"/>
      <c r="FW163" s="103"/>
      <c r="FX163" s="103"/>
      <c r="FY163" s="103"/>
      <c r="FZ163" s="103"/>
      <c r="GA163" s="103"/>
      <c r="GB163" s="103"/>
      <c r="GC163" s="103"/>
      <c r="GD163" s="103"/>
      <c r="GE163" s="103"/>
      <c r="GF163" s="103"/>
      <c r="GG163" s="103"/>
      <c r="GH163" s="103"/>
      <c r="GI163" s="103"/>
      <c r="GJ163" s="103"/>
      <c r="GK163" s="103"/>
      <c r="GL163" s="103"/>
      <c r="GM163" s="103"/>
      <c r="GN163" s="103"/>
      <c r="GO163" s="103"/>
      <c r="GP163" s="103"/>
      <c r="GQ163" s="103"/>
      <c r="GR163" s="103"/>
      <c r="GS163" s="103"/>
      <c r="GT163" s="103"/>
      <c r="GU163" s="103"/>
      <c r="GV163" s="103"/>
      <c r="GW163" s="103"/>
      <c r="GX163" s="103"/>
      <c r="GY163" s="103"/>
    </row>
    <row r="164" spans="1:207" s="135" customFormat="1" ht="20.25" customHeight="1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3"/>
      <c r="CM164" s="103"/>
      <c r="CN164" s="103"/>
      <c r="CO164" s="103"/>
      <c r="CP164" s="103"/>
      <c r="CQ164" s="103"/>
      <c r="CR164" s="103"/>
      <c r="CS164" s="103"/>
      <c r="CT164" s="103"/>
      <c r="CU164" s="103"/>
      <c r="CV164" s="103"/>
      <c r="CW164" s="103"/>
      <c r="CX164" s="103"/>
      <c r="CY164" s="103"/>
      <c r="CZ164" s="103"/>
      <c r="DA164" s="103"/>
      <c r="DB164" s="103"/>
      <c r="DC164" s="103"/>
      <c r="DD164" s="103"/>
      <c r="DE164" s="103"/>
      <c r="DF164" s="103"/>
      <c r="DG164" s="103"/>
      <c r="DH164" s="103"/>
      <c r="DI164" s="103"/>
      <c r="DJ164" s="103"/>
      <c r="DK164" s="103"/>
      <c r="DL164" s="103"/>
      <c r="DM164" s="103"/>
      <c r="DN164" s="103"/>
      <c r="DO164" s="103"/>
      <c r="DP164" s="103"/>
      <c r="DQ164" s="103"/>
      <c r="DR164" s="103"/>
      <c r="DS164" s="103"/>
      <c r="DT164" s="103"/>
      <c r="DU164" s="103"/>
      <c r="DV164" s="103"/>
      <c r="DW164" s="103"/>
      <c r="DX164" s="103"/>
      <c r="DY164" s="103"/>
      <c r="DZ164" s="103"/>
      <c r="EA164" s="103"/>
      <c r="EB164" s="103"/>
      <c r="EC164" s="103"/>
      <c r="ED164" s="103"/>
      <c r="EE164" s="103"/>
      <c r="EF164" s="103"/>
      <c r="EG164" s="103"/>
      <c r="EH164" s="103"/>
      <c r="EI164" s="103"/>
      <c r="EJ164" s="103"/>
      <c r="EK164" s="103"/>
      <c r="EL164" s="103"/>
      <c r="EM164" s="103"/>
      <c r="EN164" s="103"/>
      <c r="EO164" s="103"/>
      <c r="EP164" s="103"/>
      <c r="EQ164" s="103"/>
      <c r="ER164" s="103"/>
      <c r="ES164" s="103"/>
      <c r="ET164" s="103"/>
      <c r="EU164" s="103"/>
      <c r="EV164" s="103"/>
      <c r="EW164" s="103"/>
      <c r="EX164" s="103"/>
      <c r="EY164" s="103"/>
      <c r="EZ164" s="103"/>
      <c r="FA164" s="103"/>
      <c r="FB164" s="103"/>
      <c r="FC164" s="103"/>
      <c r="FD164" s="103"/>
      <c r="FE164" s="103"/>
      <c r="FF164" s="103"/>
      <c r="FG164" s="103"/>
      <c r="FH164" s="103"/>
      <c r="FI164" s="103"/>
      <c r="FJ164" s="103"/>
      <c r="FK164" s="103"/>
      <c r="FL164" s="103"/>
      <c r="FM164" s="103"/>
      <c r="FN164" s="103"/>
      <c r="FO164" s="103"/>
      <c r="FP164" s="103"/>
      <c r="FQ164" s="103"/>
      <c r="FR164" s="103"/>
      <c r="FS164" s="103"/>
      <c r="FT164" s="103"/>
      <c r="FU164" s="103"/>
      <c r="FV164" s="103"/>
      <c r="FW164" s="103"/>
      <c r="FX164" s="103"/>
      <c r="FY164" s="103"/>
      <c r="FZ164" s="103"/>
      <c r="GA164" s="103"/>
      <c r="GB164" s="103"/>
      <c r="GC164" s="103"/>
      <c r="GD164" s="103"/>
      <c r="GE164" s="103"/>
      <c r="GF164" s="103"/>
      <c r="GG164" s="103"/>
      <c r="GH164" s="103"/>
      <c r="GI164" s="103"/>
      <c r="GJ164" s="103"/>
      <c r="GK164" s="103"/>
      <c r="GL164" s="103"/>
      <c r="GM164" s="103"/>
      <c r="GN164" s="103"/>
      <c r="GO164" s="103"/>
      <c r="GP164" s="103"/>
      <c r="GQ164" s="103"/>
      <c r="GR164" s="103"/>
      <c r="GS164" s="103"/>
      <c r="GT164" s="103"/>
      <c r="GU164" s="103"/>
      <c r="GV164" s="103"/>
      <c r="GW164" s="103"/>
      <c r="GX164" s="103"/>
      <c r="GY164" s="103"/>
    </row>
    <row r="165" spans="1:207" s="135" customFormat="1" ht="20.25" customHeight="1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/>
      <c r="CK165" s="103"/>
      <c r="CL165" s="103"/>
      <c r="CM165" s="103"/>
      <c r="CN165" s="103"/>
      <c r="CO165" s="103"/>
      <c r="CP165" s="103"/>
      <c r="CQ165" s="103"/>
      <c r="CR165" s="103"/>
      <c r="CS165" s="103"/>
      <c r="CT165" s="103"/>
      <c r="CU165" s="103"/>
      <c r="CV165" s="103"/>
      <c r="CW165" s="103"/>
      <c r="CX165" s="103"/>
      <c r="CY165" s="103"/>
      <c r="CZ165" s="103"/>
      <c r="DA165" s="103"/>
      <c r="DB165" s="103"/>
      <c r="DC165" s="103"/>
      <c r="DD165" s="103"/>
      <c r="DE165" s="103"/>
      <c r="DF165" s="103"/>
      <c r="DG165" s="103"/>
      <c r="DH165" s="103"/>
      <c r="DI165" s="103"/>
      <c r="DJ165" s="103"/>
      <c r="DK165" s="103"/>
      <c r="DL165" s="103"/>
      <c r="DM165" s="103"/>
      <c r="DN165" s="103"/>
      <c r="DO165" s="103"/>
      <c r="DP165" s="103"/>
      <c r="DQ165" s="103"/>
      <c r="DR165" s="103"/>
      <c r="DS165" s="103"/>
      <c r="DT165" s="103"/>
      <c r="DU165" s="103"/>
      <c r="DV165" s="103"/>
      <c r="DW165" s="103"/>
      <c r="DX165" s="103"/>
      <c r="DY165" s="103"/>
      <c r="DZ165" s="103"/>
      <c r="EA165" s="103"/>
      <c r="EB165" s="103"/>
      <c r="EC165" s="103"/>
      <c r="ED165" s="103"/>
      <c r="EE165" s="103"/>
      <c r="EF165" s="103"/>
      <c r="EG165" s="103"/>
      <c r="EH165" s="103"/>
      <c r="EI165" s="103"/>
      <c r="EJ165" s="103"/>
      <c r="EK165" s="103"/>
      <c r="EL165" s="103"/>
      <c r="EM165" s="103"/>
      <c r="EN165" s="103"/>
      <c r="EO165" s="103"/>
      <c r="EP165" s="103"/>
      <c r="EQ165" s="103"/>
      <c r="ER165" s="103"/>
      <c r="ES165" s="103"/>
      <c r="ET165" s="103"/>
      <c r="EU165" s="103"/>
      <c r="EV165" s="103"/>
      <c r="EW165" s="103"/>
      <c r="EX165" s="103"/>
      <c r="EY165" s="103"/>
      <c r="EZ165" s="103"/>
      <c r="FA165" s="103"/>
      <c r="FB165" s="103"/>
      <c r="FC165" s="103"/>
      <c r="FD165" s="103"/>
      <c r="FE165" s="103"/>
      <c r="FF165" s="103"/>
      <c r="FG165" s="103"/>
      <c r="FH165" s="103"/>
      <c r="FI165" s="103"/>
      <c r="FJ165" s="103"/>
      <c r="FK165" s="103"/>
      <c r="FL165" s="103"/>
      <c r="FM165" s="103"/>
      <c r="FN165" s="103"/>
      <c r="FO165" s="103"/>
      <c r="FP165" s="103"/>
      <c r="FQ165" s="103"/>
      <c r="FR165" s="103"/>
      <c r="FS165" s="103"/>
      <c r="FT165" s="103"/>
      <c r="FU165" s="103"/>
      <c r="FV165" s="103"/>
      <c r="FW165" s="103"/>
      <c r="FX165" s="103"/>
      <c r="FY165" s="103"/>
      <c r="FZ165" s="103"/>
      <c r="GA165" s="103"/>
      <c r="GB165" s="103"/>
      <c r="GC165" s="103"/>
      <c r="GD165" s="103"/>
      <c r="GE165" s="103"/>
      <c r="GF165" s="103"/>
      <c r="GG165" s="103"/>
      <c r="GH165" s="103"/>
      <c r="GI165" s="103"/>
      <c r="GJ165" s="103"/>
      <c r="GK165" s="103"/>
      <c r="GL165" s="103"/>
      <c r="GM165" s="103"/>
      <c r="GN165" s="103"/>
      <c r="GO165" s="103"/>
      <c r="GP165" s="103"/>
      <c r="GQ165" s="103"/>
      <c r="GR165" s="103"/>
      <c r="GS165" s="103"/>
      <c r="GT165" s="103"/>
      <c r="GU165" s="103"/>
      <c r="GV165" s="103"/>
      <c r="GW165" s="103"/>
      <c r="GX165" s="103"/>
      <c r="GY165" s="103"/>
    </row>
    <row r="166" spans="1:207" s="135" customFormat="1" ht="20.25" customHeight="1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/>
      <c r="CN166" s="103"/>
      <c r="CO166" s="103"/>
      <c r="CP166" s="103"/>
      <c r="CQ166" s="103"/>
      <c r="CR166" s="103"/>
      <c r="CS166" s="103"/>
      <c r="CT166" s="103"/>
      <c r="CU166" s="103"/>
      <c r="CV166" s="103"/>
      <c r="CW166" s="103"/>
      <c r="CX166" s="103"/>
      <c r="CY166" s="103"/>
      <c r="CZ166" s="103"/>
      <c r="DA166" s="103"/>
      <c r="DB166" s="103"/>
      <c r="DC166" s="103"/>
      <c r="DD166" s="103"/>
      <c r="DE166" s="103"/>
      <c r="DF166" s="103"/>
      <c r="DG166" s="103"/>
      <c r="DH166" s="103"/>
      <c r="DI166" s="103"/>
      <c r="DJ166" s="103"/>
      <c r="DK166" s="103"/>
      <c r="DL166" s="103"/>
      <c r="DM166" s="103"/>
      <c r="DN166" s="103"/>
      <c r="DO166" s="103"/>
      <c r="DP166" s="103"/>
      <c r="DQ166" s="103"/>
      <c r="DR166" s="103"/>
      <c r="DS166" s="103"/>
      <c r="DT166" s="103"/>
      <c r="DU166" s="103"/>
      <c r="DV166" s="103"/>
      <c r="DW166" s="103"/>
      <c r="DX166" s="103"/>
      <c r="DY166" s="103"/>
      <c r="DZ166" s="103"/>
      <c r="EA166" s="103"/>
      <c r="EB166" s="103"/>
      <c r="EC166" s="103"/>
      <c r="ED166" s="103"/>
      <c r="EE166" s="103"/>
      <c r="EF166" s="103"/>
      <c r="EG166" s="103"/>
      <c r="EH166" s="103"/>
      <c r="EI166" s="103"/>
      <c r="EJ166" s="103"/>
      <c r="EK166" s="103"/>
      <c r="EL166" s="103"/>
      <c r="EM166" s="103"/>
      <c r="EN166" s="103"/>
      <c r="EO166" s="103"/>
      <c r="EP166" s="103"/>
      <c r="EQ166" s="103"/>
      <c r="ER166" s="103"/>
      <c r="ES166" s="103"/>
      <c r="ET166" s="103"/>
      <c r="EU166" s="103"/>
      <c r="EV166" s="103"/>
      <c r="EW166" s="103"/>
      <c r="EX166" s="103"/>
      <c r="EY166" s="103"/>
      <c r="EZ166" s="103"/>
      <c r="FA166" s="103"/>
      <c r="FB166" s="103"/>
      <c r="FC166" s="103"/>
      <c r="FD166" s="103"/>
      <c r="FE166" s="103"/>
      <c r="FF166" s="103"/>
      <c r="FG166" s="103"/>
      <c r="FH166" s="103"/>
      <c r="FI166" s="103"/>
      <c r="FJ166" s="103"/>
      <c r="FK166" s="103"/>
      <c r="FL166" s="103"/>
      <c r="FM166" s="103"/>
      <c r="FN166" s="103"/>
      <c r="FO166" s="103"/>
      <c r="FP166" s="103"/>
      <c r="FQ166" s="103"/>
      <c r="FR166" s="103"/>
      <c r="FS166" s="103"/>
      <c r="FT166" s="103"/>
      <c r="FU166" s="103"/>
      <c r="FV166" s="103"/>
      <c r="FW166" s="103"/>
      <c r="FX166" s="103"/>
      <c r="FY166" s="103"/>
      <c r="FZ166" s="103"/>
      <c r="GA166" s="103"/>
      <c r="GB166" s="103"/>
      <c r="GC166" s="103"/>
      <c r="GD166" s="103"/>
      <c r="GE166" s="103"/>
      <c r="GF166" s="103"/>
      <c r="GG166" s="103"/>
      <c r="GH166" s="103"/>
      <c r="GI166" s="103"/>
      <c r="GJ166" s="103"/>
      <c r="GK166" s="103"/>
      <c r="GL166" s="103"/>
      <c r="GM166" s="103"/>
      <c r="GN166" s="103"/>
      <c r="GO166" s="103"/>
      <c r="GP166" s="103"/>
      <c r="GQ166" s="103"/>
      <c r="GR166" s="103"/>
      <c r="GS166" s="103"/>
      <c r="GT166" s="103"/>
      <c r="GU166" s="103"/>
      <c r="GV166" s="103"/>
      <c r="GW166" s="103"/>
      <c r="GX166" s="103"/>
      <c r="GY166" s="103"/>
    </row>
    <row r="167" spans="1:207" s="135" customFormat="1" ht="20.25" customHeight="1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/>
      <c r="CK167" s="103"/>
      <c r="CL167" s="103"/>
      <c r="CM167" s="103"/>
      <c r="CN167" s="103"/>
      <c r="CO167" s="103"/>
      <c r="CP167" s="103"/>
      <c r="CQ167" s="103"/>
      <c r="CR167" s="103"/>
      <c r="CS167" s="103"/>
      <c r="CT167" s="103"/>
      <c r="CU167" s="103"/>
      <c r="CV167" s="103"/>
      <c r="CW167" s="103"/>
      <c r="CX167" s="103"/>
      <c r="CY167" s="103"/>
      <c r="CZ167" s="103"/>
      <c r="DA167" s="103"/>
      <c r="DB167" s="103"/>
      <c r="DC167" s="103"/>
      <c r="DD167" s="103"/>
      <c r="DE167" s="103"/>
      <c r="DF167" s="103"/>
      <c r="DG167" s="103"/>
      <c r="DH167" s="103"/>
      <c r="DI167" s="103"/>
      <c r="DJ167" s="103"/>
      <c r="DK167" s="103"/>
      <c r="DL167" s="103"/>
      <c r="DM167" s="103"/>
      <c r="DN167" s="103"/>
      <c r="DO167" s="103"/>
      <c r="DP167" s="103"/>
      <c r="DQ167" s="103"/>
      <c r="DR167" s="103"/>
      <c r="DS167" s="103"/>
      <c r="DT167" s="103"/>
      <c r="DU167" s="103"/>
      <c r="DV167" s="103"/>
      <c r="DW167" s="103"/>
      <c r="DX167" s="103"/>
      <c r="DY167" s="103"/>
      <c r="DZ167" s="103"/>
      <c r="EA167" s="103"/>
      <c r="EB167" s="103"/>
      <c r="EC167" s="103"/>
      <c r="ED167" s="103"/>
      <c r="EE167" s="103"/>
      <c r="EF167" s="103"/>
      <c r="EG167" s="103"/>
      <c r="EH167" s="103"/>
      <c r="EI167" s="103"/>
      <c r="EJ167" s="103"/>
      <c r="EK167" s="103"/>
      <c r="EL167" s="103"/>
      <c r="EM167" s="103"/>
      <c r="EN167" s="103"/>
      <c r="EO167" s="103"/>
      <c r="EP167" s="103"/>
      <c r="EQ167" s="103"/>
      <c r="ER167" s="103"/>
      <c r="ES167" s="103"/>
      <c r="ET167" s="103"/>
      <c r="EU167" s="103"/>
      <c r="EV167" s="103"/>
      <c r="EW167" s="103"/>
      <c r="EX167" s="103"/>
      <c r="EY167" s="103"/>
      <c r="EZ167" s="103"/>
      <c r="FA167" s="103"/>
      <c r="FB167" s="103"/>
      <c r="FC167" s="103"/>
      <c r="FD167" s="103"/>
      <c r="FE167" s="103"/>
      <c r="FF167" s="103"/>
      <c r="FG167" s="103"/>
      <c r="FH167" s="103"/>
      <c r="FI167" s="103"/>
      <c r="FJ167" s="103"/>
      <c r="FK167" s="103"/>
      <c r="FL167" s="103"/>
      <c r="FM167" s="103"/>
      <c r="FN167" s="103"/>
      <c r="FO167" s="103"/>
      <c r="FP167" s="103"/>
      <c r="FQ167" s="103"/>
      <c r="FR167" s="103"/>
      <c r="FS167" s="103"/>
      <c r="FT167" s="103"/>
      <c r="FU167" s="103"/>
      <c r="FV167" s="103"/>
      <c r="FW167" s="103"/>
      <c r="FX167" s="103"/>
      <c r="FY167" s="103"/>
      <c r="FZ167" s="103"/>
      <c r="GA167" s="103"/>
      <c r="GB167" s="103"/>
      <c r="GC167" s="103"/>
      <c r="GD167" s="103"/>
      <c r="GE167" s="103"/>
      <c r="GF167" s="103"/>
      <c r="GG167" s="103"/>
      <c r="GH167" s="103"/>
      <c r="GI167" s="103"/>
      <c r="GJ167" s="103"/>
      <c r="GK167" s="103"/>
      <c r="GL167" s="103"/>
      <c r="GM167" s="103"/>
      <c r="GN167" s="103"/>
      <c r="GO167" s="103"/>
      <c r="GP167" s="103"/>
      <c r="GQ167" s="103"/>
      <c r="GR167" s="103"/>
      <c r="GS167" s="103"/>
      <c r="GT167" s="103"/>
      <c r="GU167" s="103"/>
      <c r="GV167" s="103"/>
      <c r="GW167" s="103"/>
      <c r="GX167" s="103"/>
      <c r="GY167" s="103"/>
    </row>
    <row r="168" spans="1:207" s="135" customFormat="1" ht="20.25" customHeight="1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  <c r="CH168" s="103"/>
      <c r="CI168" s="103"/>
      <c r="CJ168" s="103"/>
      <c r="CK168" s="103"/>
      <c r="CL168" s="103"/>
      <c r="CM168" s="103"/>
      <c r="CN168" s="103"/>
      <c r="CO168" s="103"/>
      <c r="CP168" s="103"/>
      <c r="CQ168" s="103"/>
      <c r="CR168" s="103"/>
      <c r="CS168" s="103"/>
      <c r="CT168" s="103"/>
      <c r="CU168" s="103"/>
      <c r="CV168" s="103"/>
      <c r="CW168" s="103"/>
      <c r="CX168" s="103"/>
      <c r="CY168" s="103"/>
      <c r="CZ168" s="103"/>
      <c r="DA168" s="103"/>
      <c r="DB168" s="103"/>
      <c r="DC168" s="103"/>
      <c r="DD168" s="103"/>
      <c r="DE168" s="103"/>
      <c r="DF168" s="103"/>
      <c r="DG168" s="103"/>
      <c r="DH168" s="103"/>
      <c r="DI168" s="103"/>
      <c r="DJ168" s="103"/>
      <c r="DK168" s="103"/>
      <c r="DL168" s="103"/>
      <c r="DM168" s="103"/>
      <c r="DN168" s="103"/>
      <c r="DO168" s="103"/>
      <c r="DP168" s="103"/>
      <c r="DQ168" s="103"/>
      <c r="DR168" s="103"/>
      <c r="DS168" s="103"/>
      <c r="DT168" s="103"/>
      <c r="DU168" s="103"/>
      <c r="DV168" s="103"/>
      <c r="DW168" s="103"/>
      <c r="DX168" s="103"/>
      <c r="DY168" s="103"/>
      <c r="DZ168" s="103"/>
      <c r="EA168" s="103"/>
      <c r="EB168" s="103"/>
      <c r="EC168" s="103"/>
      <c r="ED168" s="103"/>
      <c r="EE168" s="103"/>
      <c r="EF168" s="103"/>
      <c r="EG168" s="103"/>
      <c r="EH168" s="103"/>
      <c r="EI168" s="103"/>
      <c r="EJ168" s="103"/>
      <c r="EK168" s="103"/>
      <c r="EL168" s="103"/>
      <c r="EM168" s="103"/>
      <c r="EN168" s="103"/>
      <c r="EO168" s="103"/>
      <c r="EP168" s="103"/>
      <c r="EQ168" s="103"/>
      <c r="ER168" s="103"/>
      <c r="ES168" s="103"/>
      <c r="ET168" s="103"/>
      <c r="EU168" s="103"/>
      <c r="EV168" s="103"/>
      <c r="EW168" s="103"/>
      <c r="EX168" s="103"/>
      <c r="EY168" s="103"/>
      <c r="EZ168" s="103"/>
      <c r="FA168" s="103"/>
      <c r="FB168" s="103"/>
      <c r="FC168" s="103"/>
      <c r="FD168" s="103"/>
      <c r="FE168" s="103"/>
      <c r="FF168" s="103"/>
      <c r="FG168" s="103"/>
      <c r="FH168" s="103"/>
      <c r="FI168" s="103"/>
      <c r="FJ168" s="103"/>
      <c r="FK168" s="103"/>
      <c r="FL168" s="103"/>
      <c r="FM168" s="103"/>
      <c r="FN168" s="103"/>
      <c r="FO168" s="103"/>
      <c r="FP168" s="103"/>
      <c r="FQ168" s="103"/>
      <c r="FR168" s="103"/>
      <c r="FS168" s="103"/>
      <c r="FT168" s="103"/>
      <c r="FU168" s="103"/>
      <c r="FV168" s="103"/>
      <c r="FW168" s="103"/>
      <c r="FX168" s="103"/>
      <c r="FY168" s="103"/>
      <c r="FZ168" s="103"/>
      <c r="GA168" s="103"/>
      <c r="GB168" s="103"/>
      <c r="GC168" s="103"/>
      <c r="GD168" s="103"/>
      <c r="GE168" s="103"/>
      <c r="GF168" s="103"/>
      <c r="GG168" s="103"/>
      <c r="GH168" s="103"/>
      <c r="GI168" s="103"/>
      <c r="GJ168" s="103"/>
      <c r="GK168" s="103"/>
      <c r="GL168" s="103"/>
      <c r="GM168" s="103"/>
      <c r="GN168" s="103"/>
      <c r="GO168" s="103"/>
      <c r="GP168" s="103"/>
      <c r="GQ168" s="103"/>
      <c r="GR168" s="103"/>
      <c r="GS168" s="103"/>
      <c r="GT168" s="103"/>
      <c r="GU168" s="103"/>
      <c r="GV168" s="103"/>
      <c r="GW168" s="103"/>
      <c r="GX168" s="103"/>
      <c r="GY168" s="103"/>
    </row>
    <row r="169" spans="1:207" ht="20.25" customHeight="1">
      <c r="A169" s="530" t="s">
        <v>190</v>
      </c>
      <c r="B169" s="530"/>
      <c r="C169" s="530"/>
      <c r="D169" s="530"/>
      <c r="E169" s="530"/>
      <c r="F169" s="530"/>
      <c r="G169" s="530"/>
      <c r="H169" s="530"/>
      <c r="I169" s="530"/>
      <c r="J169" s="530"/>
      <c r="K169" s="530"/>
      <c r="L169" s="530"/>
      <c r="M169" s="530"/>
      <c r="N169" s="530"/>
      <c r="O169" s="530"/>
      <c r="P169" s="530"/>
      <c r="Q169" s="530"/>
      <c r="R169" s="530"/>
      <c r="S169" s="530"/>
      <c r="T169" s="530"/>
      <c r="U169" s="530"/>
      <c r="V169" s="530"/>
      <c r="W169" s="530"/>
      <c r="X169" s="530"/>
      <c r="Y169" s="530"/>
    </row>
    <row r="170" spans="1:207" ht="20.25" customHeight="1">
      <c r="A170" s="530" t="s">
        <v>233</v>
      </c>
      <c r="B170" s="530"/>
      <c r="C170" s="530"/>
      <c r="D170" s="530"/>
      <c r="E170" s="530"/>
      <c r="F170" s="530"/>
      <c r="G170" s="530"/>
      <c r="H170" s="530"/>
      <c r="I170" s="530"/>
      <c r="J170" s="530"/>
      <c r="K170" s="530"/>
      <c r="L170" s="530"/>
      <c r="M170" s="530"/>
      <c r="N170" s="530"/>
      <c r="O170" s="530"/>
      <c r="P170" s="530"/>
      <c r="Q170" s="530"/>
      <c r="R170" s="530"/>
      <c r="S170" s="530"/>
      <c r="T170" s="530"/>
      <c r="U170" s="530"/>
      <c r="V170" s="530"/>
      <c r="W170" s="530"/>
      <c r="X170" s="530"/>
      <c r="Y170" s="530"/>
    </row>
    <row r="171" spans="1:207" ht="20.25" customHeight="1" thickBot="1">
      <c r="A171" s="531" t="str">
        <f>A46</f>
        <v>วันที่  31  มีนาคม  2558</v>
      </c>
      <c r="B171" s="531"/>
      <c r="C171" s="531"/>
      <c r="D171" s="531"/>
      <c r="E171" s="531"/>
      <c r="F171" s="531"/>
      <c r="G171" s="531"/>
      <c r="H171" s="531"/>
      <c r="I171" s="531"/>
      <c r="J171" s="531"/>
      <c r="K171" s="531"/>
      <c r="L171" s="531"/>
      <c r="M171" s="531"/>
      <c r="N171" s="531"/>
      <c r="O171" s="531"/>
      <c r="P171" s="531"/>
      <c r="Q171" s="531"/>
      <c r="R171" s="531"/>
      <c r="S171" s="531"/>
      <c r="T171" s="531"/>
      <c r="U171" s="531"/>
      <c r="V171" s="531"/>
      <c r="W171" s="531"/>
      <c r="X171" s="531"/>
      <c r="Y171" s="531"/>
    </row>
    <row r="172" spans="1:207" ht="20.25" customHeight="1">
      <c r="A172" s="263" t="s">
        <v>192</v>
      </c>
      <c r="B172" s="532" t="s">
        <v>403</v>
      </c>
      <c r="C172" s="532"/>
      <c r="D172" s="532" t="s">
        <v>405</v>
      </c>
      <c r="E172" s="532"/>
      <c r="F172" s="532" t="s">
        <v>404</v>
      </c>
      <c r="G172" s="532"/>
      <c r="H172" s="532"/>
      <c r="I172" s="532" t="s">
        <v>406</v>
      </c>
      <c r="J172" s="532"/>
      <c r="K172" s="532" t="s">
        <v>407</v>
      </c>
      <c r="L172" s="532"/>
      <c r="M172" s="533" t="s">
        <v>408</v>
      </c>
      <c r="N172" s="534"/>
      <c r="O172" s="535"/>
      <c r="P172" s="532" t="s">
        <v>409</v>
      </c>
      <c r="Q172" s="532"/>
      <c r="R172" s="532" t="s">
        <v>410</v>
      </c>
      <c r="S172" s="532"/>
      <c r="T172" s="532"/>
      <c r="U172" s="361" t="s">
        <v>201</v>
      </c>
      <c r="V172" s="361" t="s">
        <v>411</v>
      </c>
      <c r="W172" s="361" t="s">
        <v>412</v>
      </c>
      <c r="X172" s="361" t="s">
        <v>413</v>
      </c>
      <c r="Y172" s="536" t="s">
        <v>54</v>
      </c>
    </row>
    <row r="173" spans="1:207" ht="20.25" customHeight="1" thickBot="1">
      <c r="A173" s="264" t="s">
        <v>205</v>
      </c>
      <c r="B173" s="107" t="s">
        <v>206</v>
      </c>
      <c r="C173" s="107" t="s">
        <v>207</v>
      </c>
      <c r="D173" s="107" t="s">
        <v>208</v>
      </c>
      <c r="E173" s="107" t="s">
        <v>209</v>
      </c>
      <c r="F173" s="107" t="s">
        <v>210</v>
      </c>
      <c r="G173" s="107" t="s">
        <v>211</v>
      </c>
      <c r="H173" s="107" t="s">
        <v>212</v>
      </c>
      <c r="I173" s="107" t="s">
        <v>213</v>
      </c>
      <c r="J173" s="107" t="s">
        <v>214</v>
      </c>
      <c r="K173" s="107" t="s">
        <v>215</v>
      </c>
      <c r="L173" s="107" t="s">
        <v>216</v>
      </c>
      <c r="M173" s="108" t="s">
        <v>217</v>
      </c>
      <c r="N173" s="107" t="s">
        <v>218</v>
      </c>
      <c r="O173" s="107" t="s">
        <v>219</v>
      </c>
      <c r="P173" s="107" t="s">
        <v>220</v>
      </c>
      <c r="Q173" s="107" t="s">
        <v>221</v>
      </c>
      <c r="R173" s="107" t="s">
        <v>222</v>
      </c>
      <c r="S173" s="107" t="s">
        <v>223</v>
      </c>
      <c r="T173" s="107" t="s">
        <v>224</v>
      </c>
      <c r="U173" s="107" t="s">
        <v>225</v>
      </c>
      <c r="V173" s="107" t="s">
        <v>227</v>
      </c>
      <c r="W173" s="107" t="s">
        <v>228</v>
      </c>
      <c r="X173" s="107" t="s">
        <v>229</v>
      </c>
      <c r="Y173" s="537"/>
    </row>
    <row r="174" spans="1:207" ht="20.25" customHeight="1">
      <c r="A174" s="136" t="s">
        <v>232</v>
      </c>
      <c r="B174" s="116"/>
      <c r="C174" s="116">
        <v>0</v>
      </c>
      <c r="D174" s="116">
        <v>0</v>
      </c>
      <c r="E174" s="116">
        <v>0</v>
      </c>
      <c r="F174" s="116">
        <v>0</v>
      </c>
      <c r="G174" s="116"/>
      <c r="H174" s="116">
        <v>0</v>
      </c>
      <c r="I174" s="116">
        <v>0</v>
      </c>
      <c r="J174" s="116">
        <v>0</v>
      </c>
      <c r="K174" s="116">
        <v>0</v>
      </c>
      <c r="L174" s="116">
        <v>0</v>
      </c>
      <c r="M174" s="116">
        <v>0</v>
      </c>
      <c r="N174" s="116">
        <v>0</v>
      </c>
      <c r="O174" s="116">
        <v>0</v>
      </c>
      <c r="P174" s="116">
        <v>0</v>
      </c>
      <c r="Q174" s="116">
        <v>0</v>
      </c>
      <c r="R174" s="116">
        <v>0</v>
      </c>
      <c r="S174" s="116">
        <v>0</v>
      </c>
      <c r="T174" s="116">
        <v>10000</v>
      </c>
      <c r="U174" s="116">
        <v>0</v>
      </c>
      <c r="V174" s="116">
        <v>0</v>
      </c>
      <c r="W174" s="116">
        <v>0</v>
      </c>
      <c r="X174" s="116">
        <v>0</v>
      </c>
      <c r="Y174" s="111">
        <f>SUM(B174:X174)</f>
        <v>10000</v>
      </c>
    </row>
    <row r="175" spans="1:207" ht="20.25" customHeight="1">
      <c r="A175" s="137">
        <v>532000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>
        <v>0</v>
      </c>
      <c r="Y175" s="121">
        <f>SUM(B175:X175)</f>
        <v>0</v>
      </c>
    </row>
    <row r="176" spans="1:207" ht="20.25" customHeight="1">
      <c r="A176" s="252" t="s">
        <v>313</v>
      </c>
      <c r="B176" s="112">
        <v>0</v>
      </c>
      <c r="C176" s="112">
        <v>0</v>
      </c>
      <c r="D176" s="112"/>
      <c r="E176" s="112"/>
      <c r="F176" s="112"/>
      <c r="G176" s="112"/>
      <c r="H176" s="112"/>
      <c r="I176" s="112"/>
      <c r="J176" s="112"/>
      <c r="K176" s="112"/>
      <c r="L176" s="112"/>
      <c r="M176" s="112">
        <v>0</v>
      </c>
      <c r="N176" s="112"/>
      <c r="O176" s="112"/>
      <c r="P176" s="112"/>
      <c r="Q176" s="112"/>
      <c r="R176" s="112"/>
      <c r="S176" s="112"/>
      <c r="T176" s="112">
        <v>0</v>
      </c>
      <c r="U176" s="112"/>
      <c r="V176" s="112"/>
      <c r="W176" s="112"/>
      <c r="X176" s="112"/>
      <c r="Y176" s="121">
        <f>SUM(B176:X176)</f>
        <v>0</v>
      </c>
    </row>
    <row r="177" spans="1:25" ht="20.25" customHeight="1">
      <c r="A177" s="113">
        <v>220600</v>
      </c>
      <c r="B177" s="112"/>
      <c r="C177" s="112">
        <v>0</v>
      </c>
      <c r="D177" s="112"/>
      <c r="E177" s="112"/>
      <c r="F177" s="112"/>
      <c r="G177" s="112"/>
      <c r="H177" s="112"/>
      <c r="I177" s="112"/>
      <c r="J177" s="112"/>
      <c r="K177" s="112"/>
      <c r="L177" s="112"/>
      <c r="M177" s="112">
        <v>0</v>
      </c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21">
        <f>SUM(B177:X177)</f>
        <v>0</v>
      </c>
    </row>
    <row r="178" spans="1:25" ht="20.25" customHeight="1">
      <c r="A178" s="123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31"/>
    </row>
    <row r="179" spans="1:25" ht="20.25" customHeight="1" thickBot="1">
      <c r="A179" s="106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22">
        <f>SUM(B179:X179)</f>
        <v>0</v>
      </c>
    </row>
    <row r="180" spans="1:25" ht="20.25" customHeight="1">
      <c r="A180" s="104" t="s">
        <v>230</v>
      </c>
      <c r="B180" s="138">
        <f>SUM(B175:B179)</f>
        <v>0</v>
      </c>
      <c r="C180" s="138">
        <f>SUM(C175:C179)</f>
        <v>0</v>
      </c>
      <c r="D180" s="138">
        <f t="shared" ref="D180:I180" si="37">SUM(D179)</f>
        <v>0</v>
      </c>
      <c r="E180" s="138">
        <f t="shared" si="37"/>
        <v>0</v>
      </c>
      <c r="F180" s="138">
        <f t="shared" si="37"/>
        <v>0</v>
      </c>
      <c r="G180" s="138">
        <f t="shared" si="37"/>
        <v>0</v>
      </c>
      <c r="H180" s="138">
        <f t="shared" si="37"/>
        <v>0</v>
      </c>
      <c r="I180" s="138">
        <f t="shared" si="37"/>
        <v>0</v>
      </c>
      <c r="J180" s="138">
        <f>SUM(J176:J179)</f>
        <v>0</v>
      </c>
      <c r="K180" s="138">
        <f>SUM(K179)</f>
        <v>0</v>
      </c>
      <c r="L180" s="138">
        <f>SUM(L179)</f>
        <v>0</v>
      </c>
      <c r="M180" s="138">
        <f>SUM(M175:M179)</f>
        <v>0</v>
      </c>
      <c r="N180" s="138">
        <f>SUM(N175:N179)</f>
        <v>0</v>
      </c>
      <c r="O180" s="138">
        <f t="shared" ref="O180:X180" si="38">SUM(O179)</f>
        <v>0</v>
      </c>
      <c r="P180" s="138">
        <f t="shared" si="38"/>
        <v>0</v>
      </c>
      <c r="Q180" s="138">
        <f t="shared" si="38"/>
        <v>0</v>
      </c>
      <c r="R180" s="138">
        <f t="shared" si="38"/>
        <v>0</v>
      </c>
      <c r="S180" s="138">
        <f t="shared" si="38"/>
        <v>0</v>
      </c>
      <c r="T180" s="138">
        <f>SUM(T176)</f>
        <v>0</v>
      </c>
      <c r="U180" s="138">
        <f t="shared" si="38"/>
        <v>0</v>
      </c>
      <c r="V180" s="138">
        <f t="shared" si="38"/>
        <v>0</v>
      </c>
      <c r="W180" s="138">
        <f t="shared" si="38"/>
        <v>0</v>
      </c>
      <c r="X180" s="138">
        <f t="shared" si="38"/>
        <v>0</v>
      </c>
      <c r="Y180" s="118">
        <f>SUM(B180:X180)</f>
        <v>0</v>
      </c>
    </row>
    <row r="181" spans="1:25" ht="20.25" customHeight="1" thickBot="1">
      <c r="A181" s="106" t="s">
        <v>231</v>
      </c>
      <c r="B181" s="139">
        <f t="shared" ref="B181:Y181" si="39">B174+B180</f>
        <v>0</v>
      </c>
      <c r="C181" s="139">
        <f t="shared" si="39"/>
        <v>0</v>
      </c>
      <c r="D181" s="139">
        <f t="shared" si="39"/>
        <v>0</v>
      </c>
      <c r="E181" s="139">
        <f t="shared" si="39"/>
        <v>0</v>
      </c>
      <c r="F181" s="139">
        <f t="shared" si="39"/>
        <v>0</v>
      </c>
      <c r="G181" s="139">
        <f t="shared" si="39"/>
        <v>0</v>
      </c>
      <c r="H181" s="139">
        <f t="shared" si="39"/>
        <v>0</v>
      </c>
      <c r="I181" s="139">
        <f t="shared" si="39"/>
        <v>0</v>
      </c>
      <c r="J181" s="139">
        <f t="shared" si="39"/>
        <v>0</v>
      </c>
      <c r="K181" s="139">
        <f t="shared" si="39"/>
        <v>0</v>
      </c>
      <c r="L181" s="139">
        <f t="shared" si="39"/>
        <v>0</v>
      </c>
      <c r="M181" s="139">
        <f t="shared" si="39"/>
        <v>0</v>
      </c>
      <c r="N181" s="139">
        <f t="shared" si="39"/>
        <v>0</v>
      </c>
      <c r="O181" s="139">
        <f t="shared" si="39"/>
        <v>0</v>
      </c>
      <c r="P181" s="139">
        <f t="shared" si="39"/>
        <v>0</v>
      </c>
      <c r="Q181" s="139">
        <f t="shared" si="39"/>
        <v>0</v>
      </c>
      <c r="R181" s="139">
        <f t="shared" si="39"/>
        <v>0</v>
      </c>
      <c r="S181" s="139">
        <f t="shared" si="39"/>
        <v>0</v>
      </c>
      <c r="T181" s="139">
        <f t="shared" si="39"/>
        <v>10000</v>
      </c>
      <c r="U181" s="139">
        <f t="shared" si="39"/>
        <v>0</v>
      </c>
      <c r="V181" s="139">
        <f t="shared" si="39"/>
        <v>0</v>
      </c>
      <c r="W181" s="139">
        <f t="shared" si="39"/>
        <v>0</v>
      </c>
      <c r="X181" s="139">
        <f t="shared" si="39"/>
        <v>0</v>
      </c>
      <c r="Y181" s="122">
        <f t="shared" si="39"/>
        <v>10000</v>
      </c>
    </row>
    <row r="182" spans="1:25" ht="20.25" customHeight="1">
      <c r="A182" s="136" t="s">
        <v>232</v>
      </c>
      <c r="B182" s="116"/>
      <c r="C182" s="116">
        <v>0</v>
      </c>
      <c r="D182" s="116">
        <v>0</v>
      </c>
      <c r="E182" s="116">
        <v>0</v>
      </c>
      <c r="F182" s="116">
        <v>0</v>
      </c>
      <c r="G182" s="116"/>
      <c r="H182" s="116"/>
      <c r="I182" s="116"/>
      <c r="J182" s="116"/>
      <c r="K182" s="116">
        <v>0</v>
      </c>
      <c r="L182" s="116">
        <v>0</v>
      </c>
      <c r="M182" s="116">
        <v>0</v>
      </c>
      <c r="N182" s="116">
        <v>0</v>
      </c>
      <c r="O182" s="116">
        <v>0</v>
      </c>
      <c r="P182" s="116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16">
        <v>0</v>
      </c>
      <c r="Y182" s="140">
        <f>SUM(B182:X182)</f>
        <v>0</v>
      </c>
    </row>
    <row r="183" spans="1:25" ht="20.25" customHeight="1">
      <c r="A183" s="137">
        <v>542000</v>
      </c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41"/>
      <c r="Y183" s="121">
        <f>SUM(B183:X183)</f>
        <v>0</v>
      </c>
    </row>
    <row r="184" spans="1:25" ht="20.25" customHeight="1">
      <c r="A184" s="113">
        <v>420900</v>
      </c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1">
        <f>SUM(B184:X184)</f>
        <v>0</v>
      </c>
    </row>
    <row r="185" spans="1:25" ht="20.25" customHeight="1">
      <c r="A185" s="142"/>
      <c r="B185" s="114"/>
      <c r="C185" s="114"/>
      <c r="D185" s="114"/>
      <c r="E185" s="114"/>
      <c r="F185" s="114"/>
      <c r="G185" s="114"/>
      <c r="H185" s="114">
        <v>0</v>
      </c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1">
        <f>SUM(B185:X185)</f>
        <v>0</v>
      </c>
    </row>
    <row r="186" spans="1:25" ht="20.25" customHeight="1" thickBot="1">
      <c r="A186" s="142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1">
        <f>SUM(B186:X186)</f>
        <v>0</v>
      </c>
    </row>
    <row r="187" spans="1:25" ht="20.25" customHeight="1">
      <c r="A187" s="104" t="s">
        <v>230</v>
      </c>
      <c r="B187" s="116">
        <f t="shared" ref="B187:Y187" si="40">SUM(B183:B186)</f>
        <v>0</v>
      </c>
      <c r="C187" s="116">
        <f t="shared" si="40"/>
        <v>0</v>
      </c>
      <c r="D187" s="116">
        <f t="shared" si="40"/>
        <v>0</v>
      </c>
      <c r="E187" s="116">
        <f t="shared" si="40"/>
        <v>0</v>
      </c>
      <c r="F187" s="116">
        <f t="shared" si="40"/>
        <v>0</v>
      </c>
      <c r="G187" s="116">
        <f t="shared" si="40"/>
        <v>0</v>
      </c>
      <c r="H187" s="116">
        <f t="shared" si="40"/>
        <v>0</v>
      </c>
      <c r="I187" s="116">
        <f t="shared" si="40"/>
        <v>0</v>
      </c>
      <c r="J187" s="116">
        <f t="shared" si="40"/>
        <v>0</v>
      </c>
      <c r="K187" s="116">
        <f t="shared" si="40"/>
        <v>0</v>
      </c>
      <c r="L187" s="116">
        <f t="shared" si="40"/>
        <v>0</v>
      </c>
      <c r="M187" s="116">
        <f t="shared" si="40"/>
        <v>0</v>
      </c>
      <c r="N187" s="116">
        <f t="shared" si="40"/>
        <v>0</v>
      </c>
      <c r="O187" s="116">
        <f t="shared" si="40"/>
        <v>0</v>
      </c>
      <c r="P187" s="116">
        <f t="shared" si="40"/>
        <v>0</v>
      </c>
      <c r="Q187" s="116">
        <f t="shared" si="40"/>
        <v>0</v>
      </c>
      <c r="R187" s="116">
        <f t="shared" si="40"/>
        <v>0</v>
      </c>
      <c r="S187" s="116">
        <f t="shared" si="40"/>
        <v>0</v>
      </c>
      <c r="T187" s="116">
        <f t="shared" si="40"/>
        <v>0</v>
      </c>
      <c r="U187" s="116">
        <f t="shared" si="40"/>
        <v>0</v>
      </c>
      <c r="V187" s="116">
        <f t="shared" si="40"/>
        <v>0</v>
      </c>
      <c r="W187" s="116">
        <f t="shared" si="40"/>
        <v>0</v>
      </c>
      <c r="X187" s="116">
        <f t="shared" si="40"/>
        <v>0</v>
      </c>
      <c r="Y187" s="118">
        <f t="shared" si="40"/>
        <v>0</v>
      </c>
    </row>
    <row r="188" spans="1:25" ht="20.25" customHeight="1" thickBot="1">
      <c r="A188" s="106" t="s">
        <v>231</v>
      </c>
      <c r="B188" s="115">
        <f t="shared" ref="B188:X188" si="41">B182+B187</f>
        <v>0</v>
      </c>
      <c r="C188" s="115">
        <f t="shared" si="41"/>
        <v>0</v>
      </c>
      <c r="D188" s="115">
        <f t="shared" si="41"/>
        <v>0</v>
      </c>
      <c r="E188" s="115">
        <f t="shared" si="41"/>
        <v>0</v>
      </c>
      <c r="F188" s="115">
        <f t="shared" si="41"/>
        <v>0</v>
      </c>
      <c r="G188" s="115">
        <f t="shared" si="41"/>
        <v>0</v>
      </c>
      <c r="H188" s="115">
        <f t="shared" si="41"/>
        <v>0</v>
      </c>
      <c r="I188" s="115">
        <f t="shared" si="41"/>
        <v>0</v>
      </c>
      <c r="J188" s="115">
        <f t="shared" si="41"/>
        <v>0</v>
      </c>
      <c r="K188" s="115">
        <f t="shared" si="41"/>
        <v>0</v>
      </c>
      <c r="L188" s="115">
        <f t="shared" si="41"/>
        <v>0</v>
      </c>
      <c r="M188" s="115">
        <f t="shared" si="41"/>
        <v>0</v>
      </c>
      <c r="N188" s="115">
        <f t="shared" si="41"/>
        <v>0</v>
      </c>
      <c r="O188" s="115">
        <f t="shared" si="41"/>
        <v>0</v>
      </c>
      <c r="P188" s="115">
        <f t="shared" si="41"/>
        <v>0</v>
      </c>
      <c r="Q188" s="115">
        <f t="shared" si="41"/>
        <v>0</v>
      </c>
      <c r="R188" s="115">
        <f t="shared" si="41"/>
        <v>0</v>
      </c>
      <c r="S188" s="115">
        <f t="shared" si="41"/>
        <v>0</v>
      </c>
      <c r="T188" s="115">
        <f t="shared" si="41"/>
        <v>0</v>
      </c>
      <c r="U188" s="115">
        <f t="shared" si="41"/>
        <v>0</v>
      </c>
      <c r="V188" s="115">
        <f t="shared" si="41"/>
        <v>0</v>
      </c>
      <c r="W188" s="115">
        <f t="shared" si="41"/>
        <v>0</v>
      </c>
      <c r="X188" s="115">
        <f t="shared" si="41"/>
        <v>0</v>
      </c>
      <c r="Y188" s="122">
        <f>+Y182+Y187</f>
        <v>0</v>
      </c>
    </row>
    <row r="189" spans="1:25" ht="20.25" customHeight="1" thickBot="1">
      <c r="A189" s="104" t="s">
        <v>230</v>
      </c>
      <c r="B189" s="138">
        <f>B181+B188</f>
        <v>0</v>
      </c>
      <c r="C189" s="138">
        <f t="shared" ref="C189:M189" si="42">C181+C188</f>
        <v>0</v>
      </c>
      <c r="D189" s="138">
        <f t="shared" si="42"/>
        <v>0</v>
      </c>
      <c r="E189" s="138">
        <f t="shared" si="42"/>
        <v>0</v>
      </c>
      <c r="F189" s="138">
        <f t="shared" si="42"/>
        <v>0</v>
      </c>
      <c r="G189" s="138">
        <f t="shared" si="42"/>
        <v>0</v>
      </c>
      <c r="H189" s="138">
        <f t="shared" si="42"/>
        <v>0</v>
      </c>
      <c r="I189" s="138">
        <f t="shared" si="42"/>
        <v>0</v>
      </c>
      <c r="J189" s="138">
        <f t="shared" si="42"/>
        <v>0</v>
      </c>
      <c r="K189" s="138">
        <f t="shared" si="42"/>
        <v>0</v>
      </c>
      <c r="L189" s="138">
        <f t="shared" si="42"/>
        <v>0</v>
      </c>
      <c r="M189" s="138">
        <f t="shared" si="42"/>
        <v>0</v>
      </c>
      <c r="N189" s="138">
        <f>N181+N188</f>
        <v>0</v>
      </c>
      <c r="O189" s="138">
        <f t="shared" ref="O189" si="43">O181+O188</f>
        <v>0</v>
      </c>
      <c r="P189" s="138">
        <f t="shared" ref="P189" si="44">P181+P188</f>
        <v>0</v>
      </c>
      <c r="Q189" s="138">
        <f t="shared" ref="Q189" si="45">Q181+Q188</f>
        <v>0</v>
      </c>
      <c r="R189" s="138">
        <f t="shared" ref="R189" si="46">R181+R188</f>
        <v>0</v>
      </c>
      <c r="S189" s="138">
        <f t="shared" ref="S189" si="47">S181+S188</f>
        <v>0</v>
      </c>
      <c r="T189" s="138">
        <f t="shared" ref="T189" si="48">T181+T188</f>
        <v>10000</v>
      </c>
      <c r="U189" s="138">
        <f t="shared" ref="U189" si="49">U181+U188</f>
        <v>0</v>
      </c>
      <c r="V189" s="138">
        <f t="shared" ref="V189" si="50">V181+V188</f>
        <v>0</v>
      </c>
      <c r="W189" s="138">
        <f t="shared" ref="W189" si="51">W181+W188</f>
        <v>0</v>
      </c>
      <c r="X189" s="138">
        <f>X181+X188</f>
        <v>0</v>
      </c>
      <c r="Y189" s="138">
        <f t="shared" ref="Y189:Y190" si="52">Y181+Y188</f>
        <v>10000</v>
      </c>
    </row>
    <row r="190" spans="1:25" ht="20.25" customHeight="1" thickBot="1">
      <c r="A190" s="106" t="s">
        <v>231</v>
      </c>
      <c r="B190" s="143">
        <f>B181+B188</f>
        <v>0</v>
      </c>
      <c r="C190" s="143">
        <f t="shared" ref="C190:N190" si="53">C181+C188</f>
        <v>0</v>
      </c>
      <c r="D190" s="143">
        <f t="shared" si="53"/>
        <v>0</v>
      </c>
      <c r="E190" s="143">
        <f t="shared" si="53"/>
        <v>0</v>
      </c>
      <c r="F190" s="143">
        <f t="shared" si="53"/>
        <v>0</v>
      </c>
      <c r="G190" s="143">
        <f t="shared" si="53"/>
        <v>0</v>
      </c>
      <c r="H190" s="143">
        <f t="shared" si="53"/>
        <v>0</v>
      </c>
      <c r="I190" s="143">
        <f t="shared" si="53"/>
        <v>0</v>
      </c>
      <c r="J190" s="143">
        <f t="shared" si="53"/>
        <v>0</v>
      </c>
      <c r="K190" s="143">
        <f t="shared" si="53"/>
        <v>0</v>
      </c>
      <c r="L190" s="143">
        <f t="shared" si="53"/>
        <v>0</v>
      </c>
      <c r="M190" s="143">
        <f t="shared" si="53"/>
        <v>0</v>
      </c>
      <c r="N190" s="143">
        <f t="shared" si="53"/>
        <v>0</v>
      </c>
      <c r="O190" s="143">
        <f t="shared" ref="O190:X190" si="54">O60+O69+O80+O99+O107+O121+O140+O150+O159+O181+O188</f>
        <v>0</v>
      </c>
      <c r="P190" s="143">
        <f t="shared" si="54"/>
        <v>0</v>
      </c>
      <c r="Q190" s="143">
        <f t="shared" si="54"/>
        <v>0</v>
      </c>
      <c r="R190" s="143">
        <f t="shared" si="54"/>
        <v>0</v>
      </c>
      <c r="S190" s="143">
        <f t="shared" si="54"/>
        <v>0</v>
      </c>
      <c r="T190" s="143">
        <f t="shared" si="54"/>
        <v>10000</v>
      </c>
      <c r="U190" s="143">
        <f t="shared" si="54"/>
        <v>0</v>
      </c>
      <c r="V190" s="143">
        <f t="shared" si="54"/>
        <v>0</v>
      </c>
      <c r="W190" s="143">
        <f t="shared" si="54"/>
        <v>0</v>
      </c>
      <c r="X190" s="143">
        <f t="shared" si="54"/>
        <v>0</v>
      </c>
      <c r="Y190" s="138">
        <f t="shared" si="52"/>
        <v>10000</v>
      </c>
    </row>
  </sheetData>
  <mergeCells count="60">
    <mergeCell ref="A46:Y46"/>
    <mergeCell ref="A1:Y1"/>
    <mergeCell ref="A2:Y2"/>
    <mergeCell ref="A3:Y3"/>
    <mergeCell ref="B4:C4"/>
    <mergeCell ref="D4:E4"/>
    <mergeCell ref="F4:H4"/>
    <mergeCell ref="I4:J4"/>
    <mergeCell ref="K4:L4"/>
    <mergeCell ref="M4:O4"/>
    <mergeCell ref="P4:Q4"/>
    <mergeCell ref="R4:T4"/>
    <mergeCell ref="Y4:Y5"/>
    <mergeCell ref="A44:Y44"/>
    <mergeCell ref="A45:Y45"/>
    <mergeCell ref="A86:Y86"/>
    <mergeCell ref="B47:C47"/>
    <mergeCell ref="D47:E47"/>
    <mergeCell ref="F47:H47"/>
    <mergeCell ref="I47:J47"/>
    <mergeCell ref="K47:L47"/>
    <mergeCell ref="M47:O47"/>
    <mergeCell ref="P47:Q47"/>
    <mergeCell ref="R47:T47"/>
    <mergeCell ref="Y47:Y48"/>
    <mergeCell ref="A85:Y85"/>
    <mergeCell ref="A87:Y87"/>
    <mergeCell ref="B88:C88"/>
    <mergeCell ref="D88:E88"/>
    <mergeCell ref="F88:H88"/>
    <mergeCell ref="I88:J88"/>
    <mergeCell ref="K88:L88"/>
    <mergeCell ref="M88:O88"/>
    <mergeCell ref="P88:Q88"/>
    <mergeCell ref="R88:T88"/>
    <mergeCell ref="P130:Q130"/>
    <mergeCell ref="R130:T130"/>
    <mergeCell ref="Y130:Y131"/>
    <mergeCell ref="Y88:Y89"/>
    <mergeCell ref="A127:Y127"/>
    <mergeCell ref="A128:Y128"/>
    <mergeCell ref="A129:Y129"/>
    <mergeCell ref="B130:C130"/>
    <mergeCell ref="D130:E130"/>
    <mergeCell ref="F130:H130"/>
    <mergeCell ref="I130:J130"/>
    <mergeCell ref="K130:L130"/>
    <mergeCell ref="M130:O130"/>
    <mergeCell ref="A169:Y169"/>
    <mergeCell ref="A170:Y170"/>
    <mergeCell ref="A171:Y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Y172:Y173"/>
  </mergeCells>
  <printOptions horizontalCentered="1"/>
  <pageMargins left="0.17" right="0.17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40625" defaultRowHeight="19.5"/>
  <cols>
    <col min="1" max="1" width="6" style="151" customWidth="1"/>
    <col min="2" max="2" width="8.7109375" style="151" customWidth="1"/>
    <col min="3" max="6" width="9.140625" style="152"/>
    <col min="7" max="7" width="9.28515625" style="152" customWidth="1"/>
    <col min="8" max="22" width="9.140625" style="152"/>
    <col min="23" max="23" width="9.140625" style="153"/>
    <col min="24" max="24" width="9.140625" style="149"/>
    <col min="25" max="25" width="9.140625" style="150"/>
    <col min="26" max="16384" width="9.140625" style="151"/>
  </cols>
  <sheetData>
    <row r="1" spans="1:26">
      <c r="A1" s="548" t="s">
        <v>282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</row>
    <row r="2" spans="1:26">
      <c r="A2" s="548" t="s">
        <v>190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</row>
    <row r="3" spans="1:26">
      <c r="A3" s="548" t="s">
        <v>283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</row>
    <row r="4" spans="1:26">
      <c r="A4" s="548" t="s">
        <v>284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</row>
    <row r="6" spans="1:26">
      <c r="A6" s="154"/>
      <c r="B6" s="155"/>
      <c r="C6" s="156" t="s">
        <v>204</v>
      </c>
      <c r="D6" s="541" t="s">
        <v>193</v>
      </c>
      <c r="E6" s="542"/>
      <c r="F6" s="541" t="s">
        <v>194</v>
      </c>
      <c r="G6" s="542"/>
      <c r="H6" s="541" t="s">
        <v>195</v>
      </c>
      <c r="I6" s="542"/>
      <c r="J6" s="541" t="s">
        <v>196</v>
      </c>
      <c r="K6" s="542"/>
      <c r="L6" s="541" t="s">
        <v>197</v>
      </c>
      <c r="M6" s="542"/>
      <c r="N6" s="541" t="s">
        <v>198</v>
      </c>
      <c r="O6" s="543"/>
      <c r="P6" s="541" t="s">
        <v>199</v>
      </c>
      <c r="Q6" s="542"/>
      <c r="R6" s="541" t="s">
        <v>200</v>
      </c>
      <c r="S6" s="543"/>
      <c r="T6" s="156" t="s">
        <v>285</v>
      </c>
      <c r="U6" s="156" t="s">
        <v>202</v>
      </c>
      <c r="V6" s="156" t="s">
        <v>203</v>
      </c>
      <c r="W6" s="544" t="s">
        <v>54</v>
      </c>
    </row>
    <row r="7" spans="1:26">
      <c r="A7" s="157"/>
      <c r="B7" s="158"/>
      <c r="C7" s="156" t="s">
        <v>229</v>
      </c>
      <c r="D7" s="159" t="s">
        <v>206</v>
      </c>
      <c r="E7" s="160" t="s">
        <v>207</v>
      </c>
      <c r="F7" s="156" t="s">
        <v>208</v>
      </c>
      <c r="G7" s="156" t="s">
        <v>209</v>
      </c>
      <c r="H7" s="156" t="s">
        <v>210</v>
      </c>
      <c r="I7" s="156" t="s">
        <v>211</v>
      </c>
      <c r="J7" s="156" t="s">
        <v>213</v>
      </c>
      <c r="K7" s="156" t="s">
        <v>214</v>
      </c>
      <c r="L7" s="156" t="s">
        <v>215</v>
      </c>
      <c r="M7" s="156" t="s">
        <v>216</v>
      </c>
      <c r="N7" s="161" t="s">
        <v>217</v>
      </c>
      <c r="O7" s="156" t="s">
        <v>218</v>
      </c>
      <c r="P7" s="156" t="s">
        <v>220</v>
      </c>
      <c r="Q7" s="156" t="s">
        <v>221</v>
      </c>
      <c r="R7" s="156" t="s">
        <v>222</v>
      </c>
      <c r="S7" s="156" t="s">
        <v>223</v>
      </c>
      <c r="T7" s="156" t="s">
        <v>286</v>
      </c>
      <c r="U7" s="156" t="s">
        <v>226</v>
      </c>
      <c r="V7" s="156" t="s">
        <v>228</v>
      </c>
      <c r="W7" s="545"/>
    </row>
    <row r="8" spans="1:26">
      <c r="A8" s="162" t="s">
        <v>185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</row>
    <row r="9" spans="1:26">
      <c r="A9" s="162"/>
      <c r="B9" s="163" t="s">
        <v>287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5">
        <f>SUM(C9:V9)</f>
        <v>0</v>
      </c>
    </row>
    <row r="10" spans="1:26">
      <c r="A10" s="162"/>
      <c r="B10" s="163" t="s">
        <v>288</v>
      </c>
      <c r="C10" s="164">
        <v>0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5">
        <f t="shared" ref="W10:W16" si="0">SUM(C10:V10)</f>
        <v>0</v>
      </c>
    </row>
    <row r="11" spans="1:26">
      <c r="A11" s="162"/>
      <c r="B11" s="163" t="s">
        <v>289</v>
      </c>
      <c r="C11" s="164"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5">
        <f t="shared" si="0"/>
        <v>0</v>
      </c>
    </row>
    <row r="12" spans="1:26">
      <c r="A12" s="162"/>
      <c r="B12" s="163" t="s">
        <v>290</v>
      </c>
      <c r="C12" s="164">
        <v>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5">
        <f t="shared" si="0"/>
        <v>0</v>
      </c>
    </row>
    <row r="13" spans="1:26">
      <c r="A13" s="162"/>
      <c r="B13" s="163" t="s">
        <v>291</v>
      </c>
      <c r="C13" s="164"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5">
        <f t="shared" si="0"/>
        <v>0</v>
      </c>
    </row>
    <row r="14" spans="1:26">
      <c r="A14" s="166"/>
      <c r="B14" s="163" t="s">
        <v>292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>
        <f t="shared" si="0"/>
        <v>0</v>
      </c>
    </row>
    <row r="15" spans="1:26" s="173" customFormat="1" ht="18.75">
      <c r="A15" s="167"/>
      <c r="B15" s="168" t="s">
        <v>230</v>
      </c>
      <c r="C15" s="169">
        <f>SUM(C9:C14)</f>
        <v>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>
        <f>SUM(W9:W14)</f>
        <v>0</v>
      </c>
      <c r="X15" s="171"/>
      <c r="Y15" s="172"/>
    </row>
    <row r="16" spans="1:26" s="173" customFormat="1" thickBot="1">
      <c r="A16" s="174"/>
      <c r="B16" s="175" t="s">
        <v>293</v>
      </c>
      <c r="C16" s="176">
        <f>0</f>
        <v>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>
        <f t="shared" si="0"/>
        <v>0</v>
      </c>
      <c r="X16" s="171"/>
      <c r="Y16" s="172"/>
      <c r="Z16" s="178"/>
    </row>
    <row r="17" spans="1:26" ht="20.25" thickTop="1">
      <c r="A17" s="179" t="s">
        <v>130</v>
      </c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2"/>
    </row>
    <row r="18" spans="1:26">
      <c r="A18" s="179"/>
      <c r="B18" s="180" t="s">
        <v>294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65">
        <f t="shared" ref="W18:W24" si="1">SUM(C18:V18)</f>
        <v>0</v>
      </c>
      <c r="Y18" s="183"/>
    </row>
    <row r="19" spans="1:26">
      <c r="A19" s="166"/>
      <c r="B19" s="163" t="s">
        <v>295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5">
        <f t="shared" si="1"/>
        <v>0</v>
      </c>
    </row>
    <row r="20" spans="1:26">
      <c r="A20" s="166"/>
      <c r="B20" s="163" t="s">
        <v>179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>
        <f t="shared" si="1"/>
        <v>0</v>
      </c>
    </row>
    <row r="21" spans="1:26">
      <c r="A21" s="166"/>
      <c r="B21" s="163" t="s">
        <v>162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>
        <f t="shared" si="1"/>
        <v>0</v>
      </c>
    </row>
    <row r="22" spans="1:26">
      <c r="A22" s="166"/>
      <c r="B22" s="163" t="s">
        <v>180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>
        <f t="shared" si="1"/>
        <v>0</v>
      </c>
    </row>
    <row r="23" spans="1:26" s="173" customFormat="1" ht="18.75">
      <c r="A23" s="167"/>
      <c r="B23" s="168" t="s">
        <v>230</v>
      </c>
      <c r="C23" s="169"/>
      <c r="D23" s="169">
        <f>SUM(D18:D22)</f>
        <v>0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>
        <f t="shared" si="1"/>
        <v>0</v>
      </c>
      <c r="X23" s="171"/>
      <c r="Y23" s="172"/>
    </row>
    <row r="24" spans="1:26" s="173" customFormat="1" thickBot="1">
      <c r="A24" s="174"/>
      <c r="B24" s="175" t="s">
        <v>293</v>
      </c>
      <c r="C24" s="176"/>
      <c r="D24" s="176">
        <f>0</f>
        <v>0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>
        <f t="shared" si="1"/>
        <v>0</v>
      </c>
      <c r="X24" s="171"/>
      <c r="Y24" s="172"/>
      <c r="Z24" s="178"/>
    </row>
    <row r="25" spans="1:26" ht="20.25" thickTop="1">
      <c r="A25" s="184" t="s">
        <v>131</v>
      </c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7"/>
    </row>
    <row r="26" spans="1:26">
      <c r="A26" s="188"/>
      <c r="B26" s="180" t="s">
        <v>296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70">
        <f>SUM(C26:V26)</f>
        <v>0</v>
      </c>
    </row>
    <row r="27" spans="1:26">
      <c r="A27" s="188"/>
      <c r="B27" s="163" t="s">
        <v>297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70">
        <f t="shared" ref="W27:W34" si="2">SUM(C27:V27)</f>
        <v>0</v>
      </c>
    </row>
    <row r="28" spans="1:26">
      <c r="A28" s="188"/>
      <c r="B28" s="163" t="s">
        <v>298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70">
        <f t="shared" si="2"/>
        <v>0</v>
      </c>
    </row>
    <row r="29" spans="1:26">
      <c r="A29" s="188"/>
      <c r="B29" s="163" t="s">
        <v>299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70">
        <f t="shared" si="2"/>
        <v>0</v>
      </c>
    </row>
    <row r="30" spans="1:26">
      <c r="A30" s="188"/>
      <c r="B30" s="163" t="s">
        <v>300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70">
        <f t="shared" si="2"/>
        <v>0</v>
      </c>
    </row>
    <row r="31" spans="1:26">
      <c r="A31" s="188"/>
      <c r="B31" s="163" t="s">
        <v>301</v>
      </c>
      <c r="C31" s="181"/>
      <c r="D31" s="181"/>
      <c r="E31" s="181"/>
      <c r="F31" s="181"/>
      <c r="G31" s="181"/>
      <c r="H31" s="181">
        <v>0</v>
      </c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70">
        <f t="shared" si="2"/>
        <v>0</v>
      </c>
    </row>
    <row r="32" spans="1:26">
      <c r="A32" s="188"/>
      <c r="B32" s="180" t="s">
        <v>302</v>
      </c>
      <c r="C32" s="181"/>
      <c r="D32" s="181">
        <v>0</v>
      </c>
      <c r="E32" s="181">
        <v>0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70">
        <f t="shared" si="2"/>
        <v>0</v>
      </c>
    </row>
    <row r="33" spans="1:26">
      <c r="A33" s="188"/>
      <c r="B33" s="180" t="s">
        <v>303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70">
        <f t="shared" si="2"/>
        <v>0</v>
      </c>
    </row>
    <row r="34" spans="1:26">
      <c r="A34" s="188"/>
      <c r="B34" s="180" t="s">
        <v>304</v>
      </c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70">
        <f t="shared" si="2"/>
        <v>0</v>
      </c>
    </row>
    <row r="35" spans="1:26" s="173" customFormat="1" ht="18.75">
      <c r="A35" s="167"/>
      <c r="B35" s="168" t="s">
        <v>230</v>
      </c>
      <c r="C35" s="169"/>
      <c r="D35" s="169">
        <f>SUM(D26:D34)</f>
        <v>0</v>
      </c>
      <c r="E35" s="169">
        <f>SUM(E26:E34)</f>
        <v>0</v>
      </c>
      <c r="F35" s="169">
        <f t="shared" ref="F35:N35" si="3">SUM(F26:F34)</f>
        <v>0</v>
      </c>
      <c r="G35" s="169">
        <f t="shared" si="3"/>
        <v>0</v>
      </c>
      <c r="H35" s="169">
        <f t="shared" si="3"/>
        <v>0</v>
      </c>
      <c r="I35" s="169">
        <f t="shared" si="3"/>
        <v>0</v>
      </c>
      <c r="J35" s="169">
        <f t="shared" si="3"/>
        <v>0</v>
      </c>
      <c r="K35" s="169">
        <f t="shared" si="3"/>
        <v>0</v>
      </c>
      <c r="L35" s="169">
        <f t="shared" si="3"/>
        <v>0</v>
      </c>
      <c r="M35" s="169">
        <f t="shared" si="3"/>
        <v>0</v>
      </c>
      <c r="N35" s="169">
        <f t="shared" si="3"/>
        <v>0</v>
      </c>
      <c r="O35" s="169"/>
      <c r="P35" s="169"/>
      <c r="Q35" s="169"/>
      <c r="R35" s="169"/>
      <c r="S35" s="169"/>
      <c r="T35" s="169"/>
      <c r="U35" s="169"/>
      <c r="V35" s="169"/>
      <c r="W35" s="170">
        <f>SUM(C35:V35)</f>
        <v>0</v>
      </c>
      <c r="X35" s="171"/>
      <c r="Y35" s="172"/>
    </row>
    <row r="36" spans="1:26" s="173" customFormat="1" thickBot="1">
      <c r="A36" s="174"/>
      <c r="B36" s="175" t="s">
        <v>293</v>
      </c>
      <c r="C36" s="176"/>
      <c r="D36" s="176"/>
      <c r="E36" s="176"/>
      <c r="F36" s="176"/>
      <c r="G36" s="176"/>
      <c r="H36" s="176">
        <v>0</v>
      </c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7">
        <f>SUM(C36:V36)</f>
        <v>0</v>
      </c>
      <c r="X36" s="171"/>
      <c r="Y36" s="172"/>
      <c r="Z36" s="178"/>
    </row>
    <row r="37" spans="1:26" s="194" customFormat="1" ht="20.25" thickTop="1">
      <c r="A37" s="189" t="s">
        <v>132</v>
      </c>
      <c r="B37" s="190"/>
      <c r="C37" s="191"/>
      <c r="D37" s="191"/>
      <c r="E37" s="191"/>
      <c r="F37" s="191"/>
      <c r="G37" s="191"/>
      <c r="H37" s="191" t="s">
        <v>265</v>
      </c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70">
        <f t="shared" ref="W37:W44" si="4">SUM(C37:V37)</f>
        <v>0</v>
      </c>
      <c r="X37" s="192"/>
      <c r="Y37" s="193"/>
    </row>
    <row r="38" spans="1:26" s="194" customFormat="1">
      <c r="A38" s="195"/>
      <c r="B38" s="196" t="s">
        <v>305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70">
        <f t="shared" si="4"/>
        <v>0</v>
      </c>
      <c r="X38" s="192"/>
      <c r="Y38" s="193"/>
    </row>
    <row r="39" spans="1:26" s="194" customFormat="1">
      <c r="A39" s="195"/>
      <c r="B39" s="196" t="s">
        <v>306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70">
        <f t="shared" si="4"/>
        <v>0</v>
      </c>
      <c r="X39" s="192"/>
      <c r="Y39" s="193"/>
    </row>
    <row r="40" spans="1:26" s="194" customFormat="1">
      <c r="A40" s="195"/>
      <c r="B40" s="196" t="s">
        <v>307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70">
        <f t="shared" si="4"/>
        <v>0</v>
      </c>
      <c r="X40" s="192"/>
      <c r="Y40" s="193"/>
    </row>
    <row r="41" spans="1:26" s="194" customFormat="1">
      <c r="A41" s="195"/>
      <c r="B41" s="196" t="s">
        <v>308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70">
        <f t="shared" si="4"/>
        <v>0</v>
      </c>
      <c r="X41" s="192"/>
      <c r="Y41" s="193"/>
    </row>
    <row r="42" spans="1:26" s="194" customFormat="1">
      <c r="A42" s="195"/>
      <c r="B42" s="196" t="s">
        <v>309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70">
        <f t="shared" si="4"/>
        <v>0</v>
      </c>
      <c r="X42" s="192"/>
      <c r="Y42" s="193"/>
    </row>
    <row r="43" spans="1:26" s="194" customFormat="1">
      <c r="A43" s="195"/>
      <c r="B43" s="196" t="s">
        <v>310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70">
        <f t="shared" si="4"/>
        <v>0</v>
      </c>
      <c r="X43" s="192"/>
      <c r="Y43" s="193"/>
    </row>
    <row r="44" spans="1:26" s="203" customFormat="1" ht="18.75">
      <c r="A44" s="198"/>
      <c r="B44" s="199" t="s">
        <v>230</v>
      </c>
      <c r="C44" s="200"/>
      <c r="D44" s="200">
        <f>SUM(D38:D43)</f>
        <v>0</v>
      </c>
      <c r="E44" s="200">
        <f>SUM(E38:E43)</f>
        <v>0</v>
      </c>
      <c r="F44" s="200"/>
      <c r="G44" s="200"/>
      <c r="H44" s="200"/>
      <c r="I44" s="200"/>
      <c r="J44" s="200"/>
      <c r="K44" s="200"/>
      <c r="L44" s="200"/>
      <c r="M44" s="200"/>
      <c r="N44" s="200">
        <f>SUM(N38:N43)</f>
        <v>0</v>
      </c>
      <c r="O44" s="200"/>
      <c r="P44" s="200"/>
      <c r="Q44" s="200"/>
      <c r="R44" s="200"/>
      <c r="S44" s="200"/>
      <c r="T44" s="200"/>
      <c r="U44" s="200"/>
      <c r="V44" s="200"/>
      <c r="W44" s="170">
        <f t="shared" si="4"/>
        <v>0</v>
      </c>
      <c r="X44" s="201"/>
      <c r="Y44" s="202"/>
    </row>
    <row r="45" spans="1:26" s="203" customFormat="1" thickBot="1">
      <c r="A45" s="204"/>
      <c r="B45" s="205" t="s">
        <v>293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177">
        <f>SUM(C45:V45)</f>
        <v>0</v>
      </c>
      <c r="X45" s="207"/>
      <c r="Y45" s="202"/>
      <c r="Z45" s="178"/>
    </row>
    <row r="46" spans="1:26" ht="20.25" thickTop="1">
      <c r="A46" s="189" t="s">
        <v>133</v>
      </c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208"/>
    </row>
    <row r="47" spans="1:26">
      <c r="A47" s="189"/>
      <c r="B47" s="190" t="s">
        <v>311</v>
      </c>
      <c r="C47" s="191"/>
      <c r="D47" s="191"/>
      <c r="E47" s="191"/>
      <c r="F47" s="209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208">
        <f>SUM(C47:V47)</f>
        <v>0</v>
      </c>
      <c r="Y47" s="183"/>
    </row>
    <row r="48" spans="1:26">
      <c r="A48" s="189"/>
      <c r="B48" s="190" t="s">
        <v>312</v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208">
        <f>SUM(C48:V48)</f>
        <v>0</v>
      </c>
    </row>
    <row r="49" spans="1:28">
      <c r="A49" s="189"/>
      <c r="B49" s="190" t="s">
        <v>313</v>
      </c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208">
        <f>SUM(C49:V49)</f>
        <v>0</v>
      </c>
    </row>
    <row r="50" spans="1:28">
      <c r="A50" s="195"/>
      <c r="B50" s="196" t="s">
        <v>314</v>
      </c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210">
        <f>SUM(C50:V50)</f>
        <v>0</v>
      </c>
      <c r="AB50" s="211"/>
    </row>
    <row r="51" spans="1:28" s="218" customFormat="1" ht="18.75">
      <c r="A51" s="212"/>
      <c r="B51" s="213" t="s">
        <v>230</v>
      </c>
      <c r="C51" s="214"/>
      <c r="D51" s="214">
        <f>SUM(D47:D50)</f>
        <v>0</v>
      </c>
      <c r="E51" s="214">
        <f>SUM(E47:E50)</f>
        <v>0</v>
      </c>
      <c r="F51" s="214"/>
      <c r="G51" s="214">
        <f>SUM(G47:G50)</f>
        <v>0</v>
      </c>
      <c r="H51" s="214">
        <f>SUM(H47:H50)</f>
        <v>0</v>
      </c>
      <c r="I51" s="214">
        <f>SUM(I47:I50)</f>
        <v>0</v>
      </c>
      <c r="J51" s="214">
        <f>SUM(J47:J50)</f>
        <v>0</v>
      </c>
      <c r="K51" s="214">
        <f>SUM(K47:K50)</f>
        <v>0</v>
      </c>
      <c r="L51" s="214"/>
      <c r="M51" s="214"/>
      <c r="N51" s="214">
        <f t="shared" ref="N51:S51" si="5">SUM(N47:N50)</f>
        <v>0</v>
      </c>
      <c r="O51" s="214">
        <f t="shared" si="5"/>
        <v>0</v>
      </c>
      <c r="P51" s="214">
        <f t="shared" si="5"/>
        <v>0</v>
      </c>
      <c r="Q51" s="214">
        <f t="shared" si="5"/>
        <v>0</v>
      </c>
      <c r="R51" s="214">
        <f t="shared" si="5"/>
        <v>0</v>
      </c>
      <c r="S51" s="214">
        <f t="shared" si="5"/>
        <v>0</v>
      </c>
      <c r="T51" s="214"/>
      <c r="U51" s="214"/>
      <c r="V51" s="214">
        <f>SUM(V47:V50)</f>
        <v>0</v>
      </c>
      <c r="W51" s="215">
        <f>SUM(W47:W50)</f>
        <v>0</v>
      </c>
      <c r="X51" s="216"/>
      <c r="Y51" s="217"/>
    </row>
    <row r="52" spans="1:28" s="218" customFormat="1" thickBot="1">
      <c r="A52" s="219"/>
      <c r="B52" s="220" t="s">
        <v>293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2"/>
      <c r="X52" s="216"/>
      <c r="Y52" s="217"/>
      <c r="Z52" s="178"/>
      <c r="AA52" s="223"/>
    </row>
    <row r="53" spans="1:28" s="226" customFormat="1" ht="20.25" thickTop="1">
      <c r="A53" s="189" t="s">
        <v>134</v>
      </c>
      <c r="B53" s="190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208"/>
      <c r="X53" s="224"/>
      <c r="Y53" s="225"/>
      <c r="Z53" s="151"/>
    </row>
    <row r="54" spans="1:28" s="226" customFormat="1">
      <c r="A54" s="189"/>
      <c r="B54" s="190" t="s">
        <v>315</v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208">
        <f t="shared" ref="W54:W66" si="6">SUM(C54:V54)</f>
        <v>0</v>
      </c>
      <c r="X54" s="224"/>
      <c r="Y54" s="225"/>
      <c r="Z54" s="151"/>
    </row>
    <row r="55" spans="1:28" s="226" customFormat="1">
      <c r="A55" s="189"/>
      <c r="B55" s="190" t="s">
        <v>316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208"/>
      <c r="X55" s="224"/>
      <c r="Y55" s="225"/>
    </row>
    <row r="56" spans="1:28" s="226" customFormat="1">
      <c r="A56" s="189"/>
      <c r="B56" s="190" t="s">
        <v>317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208">
        <f t="shared" si="6"/>
        <v>0</v>
      </c>
      <c r="X56" s="224"/>
      <c r="Y56" s="227"/>
    </row>
    <row r="57" spans="1:28" s="226" customFormat="1">
      <c r="A57" s="189"/>
      <c r="B57" s="190" t="s">
        <v>318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208"/>
      <c r="X57" s="224"/>
      <c r="Y57" s="227"/>
    </row>
    <row r="58" spans="1:28" s="226" customFormat="1">
      <c r="A58" s="189"/>
      <c r="B58" s="190" t="s">
        <v>319</v>
      </c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208">
        <f t="shared" si="6"/>
        <v>0</v>
      </c>
      <c r="X58" s="224"/>
      <c r="Y58" s="227"/>
    </row>
    <row r="59" spans="1:28" s="226" customFormat="1">
      <c r="A59" s="189"/>
      <c r="B59" s="190" t="s">
        <v>320</v>
      </c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208">
        <f t="shared" si="6"/>
        <v>0</v>
      </c>
      <c r="X59" s="224"/>
      <c r="Y59" s="227"/>
    </row>
    <row r="60" spans="1:28" s="226" customFormat="1">
      <c r="A60" s="189"/>
      <c r="B60" s="190" t="s">
        <v>321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208">
        <f t="shared" si="6"/>
        <v>0</v>
      </c>
      <c r="X60" s="224"/>
      <c r="Y60" s="227"/>
    </row>
    <row r="61" spans="1:28" s="226" customFormat="1">
      <c r="A61" s="189"/>
      <c r="B61" s="190" t="s">
        <v>322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208">
        <f t="shared" si="6"/>
        <v>0</v>
      </c>
      <c r="X61" s="224"/>
      <c r="Y61" s="227"/>
    </row>
    <row r="62" spans="1:28" s="226" customFormat="1">
      <c r="A62" s="189"/>
      <c r="B62" s="190" t="s">
        <v>323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208">
        <f t="shared" si="6"/>
        <v>0</v>
      </c>
      <c r="X62" s="224"/>
      <c r="Y62" s="227"/>
    </row>
    <row r="63" spans="1:28" s="226" customFormat="1">
      <c r="A63" s="189"/>
      <c r="B63" s="190" t="s">
        <v>324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208">
        <f t="shared" si="6"/>
        <v>0</v>
      </c>
      <c r="X63" s="224"/>
      <c r="Y63" s="227"/>
    </row>
    <row r="64" spans="1:28" s="226" customFormat="1">
      <c r="A64" s="189"/>
      <c r="B64" s="190" t="s">
        <v>325</v>
      </c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208">
        <f t="shared" si="6"/>
        <v>0</v>
      </c>
      <c r="X64" s="224"/>
      <c r="Y64" s="227"/>
    </row>
    <row r="65" spans="1:27" s="226" customFormat="1">
      <c r="A65" s="189"/>
      <c r="B65" s="190" t="s">
        <v>326</v>
      </c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208">
        <f t="shared" si="6"/>
        <v>0</v>
      </c>
      <c r="X65" s="224"/>
      <c r="Y65" s="227"/>
    </row>
    <row r="66" spans="1:27" s="226" customFormat="1">
      <c r="A66" s="189"/>
      <c r="B66" s="190" t="s">
        <v>327</v>
      </c>
      <c r="C66" s="191"/>
      <c r="D66" s="191"/>
      <c r="E66" s="191"/>
      <c r="F66" s="191"/>
      <c r="G66" s="191"/>
      <c r="H66" s="191">
        <v>0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>
        <v>0</v>
      </c>
      <c r="W66" s="208">
        <f t="shared" si="6"/>
        <v>0</v>
      </c>
      <c r="X66" s="224"/>
      <c r="Y66" s="227"/>
    </row>
    <row r="67" spans="1:27" s="231" customFormat="1" ht="18.75">
      <c r="A67" s="198"/>
      <c r="B67" s="199" t="s">
        <v>230</v>
      </c>
      <c r="C67" s="200"/>
      <c r="D67" s="200">
        <f>SUM(D54:D64)</f>
        <v>0</v>
      </c>
      <c r="E67" s="200">
        <f t="shared" ref="E67:M67" si="7">SUM(E54:E66)</f>
        <v>0</v>
      </c>
      <c r="F67" s="200">
        <f t="shared" si="7"/>
        <v>0</v>
      </c>
      <c r="G67" s="200">
        <f t="shared" si="7"/>
        <v>0</v>
      </c>
      <c r="H67" s="200">
        <f t="shared" si="7"/>
        <v>0</v>
      </c>
      <c r="I67" s="200">
        <f t="shared" si="7"/>
        <v>0</v>
      </c>
      <c r="J67" s="200">
        <f t="shared" si="7"/>
        <v>0</v>
      </c>
      <c r="K67" s="200">
        <f t="shared" si="7"/>
        <v>0</v>
      </c>
      <c r="L67" s="200">
        <f t="shared" si="7"/>
        <v>0</v>
      </c>
      <c r="M67" s="200">
        <f t="shared" si="7"/>
        <v>0</v>
      </c>
      <c r="N67" s="200">
        <f>SUM(N54:N66)</f>
        <v>0</v>
      </c>
      <c r="O67" s="200"/>
      <c r="P67" s="200"/>
      <c r="Q67" s="200"/>
      <c r="R67" s="200"/>
      <c r="S67" s="200">
        <f>SUM(S54:S65)</f>
        <v>0</v>
      </c>
      <c r="T67" s="200"/>
      <c r="U67" s="200">
        <f>SUM(U53:U66)</f>
        <v>0</v>
      </c>
      <c r="V67" s="200">
        <f>SUM(V53:V66)</f>
        <v>0</v>
      </c>
      <c r="W67" s="228">
        <f>SUM(C67:V67)</f>
        <v>0</v>
      </c>
      <c r="X67" s="229"/>
      <c r="Y67" s="230"/>
    </row>
    <row r="68" spans="1:27" s="231" customFormat="1" thickBot="1">
      <c r="A68" s="204"/>
      <c r="B68" s="205" t="s">
        <v>293</v>
      </c>
      <c r="C68" s="206"/>
      <c r="D68" s="206">
        <f>0</f>
        <v>0</v>
      </c>
      <c r="E68" s="206">
        <f>0</f>
        <v>0</v>
      </c>
      <c r="F68" s="206"/>
      <c r="G68" s="206"/>
      <c r="H68" s="206"/>
      <c r="I68" s="206"/>
      <c r="J68" s="206"/>
      <c r="K68" s="206"/>
      <c r="L68" s="206">
        <v>0</v>
      </c>
      <c r="M68" s="206"/>
      <c r="N68" s="206"/>
      <c r="O68" s="206"/>
      <c r="P68" s="206"/>
      <c r="Q68" s="206"/>
      <c r="R68" s="206"/>
      <c r="S68" s="206">
        <v>0</v>
      </c>
      <c r="T68" s="206"/>
      <c r="U68" s="206"/>
      <c r="V68" s="206">
        <v>0</v>
      </c>
      <c r="W68" s="232">
        <f>SUM(C68:V68)</f>
        <v>0</v>
      </c>
      <c r="X68" s="229" t="s">
        <v>328</v>
      </c>
      <c r="Y68" s="230"/>
      <c r="Z68" s="178"/>
      <c r="AA68" s="233"/>
    </row>
    <row r="69" spans="1:27" ht="20.25" thickTop="1">
      <c r="A69" s="179" t="s">
        <v>135</v>
      </c>
      <c r="B69" s="180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2"/>
    </row>
    <row r="70" spans="1:27">
      <c r="A70" s="179"/>
      <c r="B70" s="180" t="s">
        <v>329</v>
      </c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2">
        <f>SUM(C70:V70)</f>
        <v>0</v>
      </c>
    </row>
    <row r="71" spans="1:27">
      <c r="A71" s="179"/>
      <c r="B71" s="180" t="s">
        <v>330</v>
      </c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2">
        <f>SUM(C71:V71)</f>
        <v>0</v>
      </c>
    </row>
    <row r="72" spans="1:27">
      <c r="A72" s="179"/>
      <c r="B72" s="180" t="s">
        <v>331</v>
      </c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2">
        <f>SUM(C72:V72)</f>
        <v>0</v>
      </c>
    </row>
    <row r="73" spans="1:27">
      <c r="A73" s="179"/>
      <c r="B73" s="180" t="s">
        <v>332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2">
        <f>SUM(C73:V73)</f>
        <v>0</v>
      </c>
    </row>
    <row r="74" spans="1:27" s="173" customFormat="1" ht="18.75">
      <c r="A74" s="167"/>
      <c r="B74" s="168" t="s">
        <v>230</v>
      </c>
      <c r="C74" s="169">
        <f>SUM(C70:C73)</f>
        <v>0</v>
      </c>
      <c r="D74" s="169">
        <f>SUM(D70:D73)</f>
        <v>0</v>
      </c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>
        <f>SUM(V70:V73)</f>
        <v>0</v>
      </c>
      <c r="W74" s="170">
        <f>SUM(C74:V74)</f>
        <v>0</v>
      </c>
      <c r="X74" s="171"/>
      <c r="Y74" s="172"/>
    </row>
    <row r="75" spans="1:27" s="173" customFormat="1" thickBot="1">
      <c r="A75" s="174"/>
      <c r="B75" s="175" t="s">
        <v>293</v>
      </c>
      <c r="C75" s="176">
        <v>0</v>
      </c>
      <c r="D75" s="176">
        <f>0</f>
        <v>0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7"/>
      <c r="X75" s="171" t="s">
        <v>333</v>
      </c>
      <c r="Y75" s="172"/>
      <c r="Z75" s="178"/>
      <c r="AA75" s="178"/>
    </row>
    <row r="76" spans="1:27" s="226" customFormat="1" ht="20.25" thickTop="1">
      <c r="A76" s="189" t="s">
        <v>136</v>
      </c>
      <c r="B76" s="190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208"/>
      <c r="X76" s="224" t="s">
        <v>334</v>
      </c>
      <c r="Y76" s="227"/>
    </row>
    <row r="77" spans="1:27" s="226" customFormat="1" ht="20.25" thickBot="1">
      <c r="A77" s="189"/>
      <c r="B77" s="190" t="s">
        <v>335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208">
        <f t="shared" ref="W77:W84" si="8">SUM(C77:V77)</f>
        <v>0</v>
      </c>
      <c r="X77" s="224" t="s">
        <v>54</v>
      </c>
      <c r="Y77" s="234"/>
    </row>
    <row r="78" spans="1:27" s="226" customFormat="1" ht="20.25" thickTop="1">
      <c r="A78" s="189"/>
      <c r="B78" s="190" t="s">
        <v>336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208">
        <f t="shared" si="8"/>
        <v>0</v>
      </c>
      <c r="X78" s="224"/>
      <c r="Y78" s="227"/>
    </row>
    <row r="79" spans="1:27" s="226" customFormat="1">
      <c r="A79" s="189"/>
      <c r="B79" s="190" t="s">
        <v>337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208">
        <f t="shared" si="8"/>
        <v>0</v>
      </c>
      <c r="X79" s="224"/>
      <c r="Y79" s="227"/>
    </row>
    <row r="80" spans="1:27" s="226" customFormat="1">
      <c r="A80" s="189"/>
      <c r="B80" s="190" t="s">
        <v>338</v>
      </c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208">
        <f t="shared" si="8"/>
        <v>0</v>
      </c>
      <c r="X80" s="224"/>
      <c r="Y80" s="227"/>
    </row>
    <row r="81" spans="1:27" s="226" customFormat="1">
      <c r="A81" s="189"/>
      <c r="B81" s="190" t="s">
        <v>339</v>
      </c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208"/>
      <c r="X81" s="224"/>
      <c r="Y81" s="227"/>
    </row>
    <row r="82" spans="1:27" s="226" customFormat="1">
      <c r="A82" s="189"/>
      <c r="B82" s="190" t="s">
        <v>340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208">
        <f t="shared" si="8"/>
        <v>0</v>
      </c>
      <c r="X82" s="224"/>
      <c r="Y82" s="227"/>
    </row>
    <row r="83" spans="1:27" s="231" customFormat="1" ht="18.75">
      <c r="A83" s="198"/>
      <c r="B83" s="199" t="s">
        <v>230</v>
      </c>
      <c r="C83" s="200">
        <f>SUM(C77:C82)</f>
        <v>0</v>
      </c>
      <c r="D83" s="200">
        <f>SUM(D77:D82)</f>
        <v>0</v>
      </c>
      <c r="E83" s="200">
        <f>SUM(E77:E82)</f>
        <v>0</v>
      </c>
      <c r="F83" s="200">
        <f>SUM(F77:F82)</f>
        <v>0</v>
      </c>
      <c r="G83" s="200">
        <f>SUM(G77:G82)</f>
        <v>0</v>
      </c>
      <c r="H83" s="200"/>
      <c r="I83" s="200"/>
      <c r="J83" s="200"/>
      <c r="K83" s="200"/>
      <c r="L83" s="200"/>
      <c r="M83" s="200"/>
      <c r="N83" s="200">
        <f>SUM(N77:N82)</f>
        <v>0</v>
      </c>
      <c r="O83" s="200"/>
      <c r="P83" s="200"/>
      <c r="Q83" s="200"/>
      <c r="R83" s="200"/>
      <c r="S83" s="200"/>
      <c r="T83" s="200"/>
      <c r="U83" s="200"/>
      <c r="V83" s="200"/>
      <c r="W83" s="228">
        <f t="shared" si="8"/>
        <v>0</v>
      </c>
      <c r="X83" s="229"/>
      <c r="Y83" s="230"/>
    </row>
    <row r="84" spans="1:27" s="231" customFormat="1" thickBot="1">
      <c r="A84" s="204"/>
      <c r="B84" s="205" t="s">
        <v>293</v>
      </c>
      <c r="C84" s="206">
        <v>0</v>
      </c>
      <c r="D84" s="206">
        <f>0</f>
        <v>0</v>
      </c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32">
        <f t="shared" si="8"/>
        <v>0</v>
      </c>
      <c r="X84" s="229" t="s">
        <v>341</v>
      </c>
      <c r="Y84" s="230"/>
      <c r="Z84" s="178"/>
      <c r="AA84" s="178"/>
    </row>
    <row r="85" spans="1:27" ht="20.25" thickTop="1">
      <c r="A85" s="179" t="s">
        <v>137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2">
        <f>SUM(C85:V85)</f>
        <v>0</v>
      </c>
    </row>
    <row r="86" spans="1:27">
      <c r="A86" s="179"/>
      <c r="B86" s="180" t="s">
        <v>342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2">
        <f>SUM(C86:V86)</f>
        <v>0</v>
      </c>
    </row>
    <row r="87" spans="1:27">
      <c r="A87" s="179"/>
      <c r="B87" s="180" t="s">
        <v>117</v>
      </c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2">
        <f>SUM(C87:V87)</f>
        <v>0</v>
      </c>
    </row>
    <row r="88" spans="1:27" s="173" customFormat="1" ht="18.75">
      <c r="A88" s="167"/>
      <c r="B88" s="168" t="s">
        <v>230</v>
      </c>
      <c r="C88" s="169"/>
      <c r="D88" s="169">
        <f>SUM(D85:D87)</f>
        <v>0</v>
      </c>
      <c r="E88" s="169"/>
      <c r="F88" s="169">
        <f>SUM(F85:F87)</f>
        <v>0</v>
      </c>
      <c r="G88" s="169">
        <f>SUM(G85:G87)</f>
        <v>0</v>
      </c>
      <c r="H88" s="169">
        <f>SUM(H85:H87)</f>
        <v>0</v>
      </c>
      <c r="I88" s="169"/>
      <c r="J88" s="169"/>
      <c r="K88" s="169"/>
      <c r="L88" s="169"/>
      <c r="M88" s="169"/>
      <c r="N88" s="169">
        <v>0</v>
      </c>
      <c r="O88" s="169">
        <f>SUM(O85:O87)</f>
        <v>0</v>
      </c>
      <c r="P88" s="169"/>
      <c r="Q88" s="169">
        <f t="shared" ref="Q88:V88" si="9">SUM(Q85:Q87)</f>
        <v>0</v>
      </c>
      <c r="R88" s="169">
        <f t="shared" si="9"/>
        <v>0</v>
      </c>
      <c r="S88" s="169">
        <f t="shared" si="9"/>
        <v>0</v>
      </c>
      <c r="T88" s="169">
        <f t="shared" si="9"/>
        <v>0</v>
      </c>
      <c r="U88" s="169">
        <f t="shared" si="9"/>
        <v>0</v>
      </c>
      <c r="V88" s="169">
        <f t="shared" si="9"/>
        <v>0</v>
      </c>
      <c r="W88" s="170">
        <f>SUM(C88:V88)</f>
        <v>0</v>
      </c>
      <c r="X88" s="171"/>
      <c r="Y88" s="172"/>
    </row>
    <row r="89" spans="1:27" s="173" customFormat="1" thickBot="1">
      <c r="A89" s="174"/>
      <c r="B89" s="175" t="s">
        <v>293</v>
      </c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>
        <v>0</v>
      </c>
      <c r="O89" s="176"/>
      <c r="P89" s="176"/>
      <c r="Q89" s="176"/>
      <c r="R89" s="176"/>
      <c r="S89" s="176"/>
      <c r="T89" s="176"/>
      <c r="U89" s="176"/>
      <c r="V89" s="176"/>
      <c r="W89" s="177"/>
      <c r="X89" s="171" t="s">
        <v>343</v>
      </c>
      <c r="Y89" s="172"/>
      <c r="Z89" s="178"/>
      <c r="AA89" s="178"/>
    </row>
    <row r="90" spans="1:27" ht="20.25" thickTop="1">
      <c r="A90" s="179" t="s">
        <v>344</v>
      </c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2"/>
    </row>
    <row r="91" spans="1:27">
      <c r="A91" s="179"/>
      <c r="B91" s="180" t="s">
        <v>345</v>
      </c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2">
        <f>SUM(C91:V91)</f>
        <v>0</v>
      </c>
    </row>
    <row r="92" spans="1:27">
      <c r="A92" s="179"/>
      <c r="B92" s="180" t="s">
        <v>346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2">
        <f>SUM(C92:V92)</f>
        <v>0</v>
      </c>
    </row>
    <row r="93" spans="1:27">
      <c r="A93" s="179"/>
      <c r="B93" s="180" t="s">
        <v>347</v>
      </c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2">
        <f>SUM(C93:V93)</f>
        <v>0</v>
      </c>
    </row>
    <row r="94" spans="1:27" s="173" customFormat="1" ht="18.75">
      <c r="A94" s="167"/>
      <c r="B94" s="168" t="s">
        <v>230</v>
      </c>
      <c r="C94" s="169"/>
      <c r="D94" s="169">
        <f>SUM(D91:D93)</f>
        <v>0</v>
      </c>
      <c r="E94" s="169"/>
      <c r="F94" s="169">
        <f>SUM(F92:F93)</f>
        <v>0</v>
      </c>
      <c r="G94" s="169"/>
      <c r="H94" s="169">
        <f>SUM(H91:H93)</f>
        <v>0</v>
      </c>
      <c r="I94" s="169">
        <f>SUM(I90:I93)</f>
        <v>0</v>
      </c>
      <c r="J94" s="169">
        <f>SUM(J90:J93)</f>
        <v>0</v>
      </c>
      <c r="K94" s="169"/>
      <c r="L94" s="169"/>
      <c r="M94" s="169"/>
      <c r="N94" s="169">
        <f>SUM(N92:N93)</f>
        <v>0</v>
      </c>
      <c r="O94" s="169">
        <f>SUM(O92:O93)</f>
        <v>0</v>
      </c>
      <c r="P94" s="169"/>
      <c r="Q94" s="169">
        <f>SUM(Q92:Q93)</f>
        <v>0</v>
      </c>
      <c r="R94" s="169">
        <f>SUM(R92:R93)</f>
        <v>0</v>
      </c>
      <c r="S94" s="169">
        <f>SUM(S92:S93)</f>
        <v>0</v>
      </c>
      <c r="T94" s="169"/>
      <c r="U94" s="169"/>
      <c r="V94" s="169"/>
      <c r="W94" s="170">
        <f>SUM(C94:V94)</f>
        <v>0</v>
      </c>
      <c r="X94" s="171"/>
      <c r="Y94" s="172"/>
    </row>
    <row r="95" spans="1:27" s="173" customFormat="1" thickBot="1">
      <c r="A95" s="174"/>
      <c r="B95" s="175" t="s">
        <v>293</v>
      </c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7">
        <f>SUM(C95:V95)</f>
        <v>0</v>
      </c>
      <c r="X95" s="171" t="s">
        <v>11</v>
      </c>
      <c r="Y95" s="172"/>
      <c r="Z95" s="178"/>
      <c r="AA95" s="178"/>
    </row>
    <row r="96" spans="1:27" ht="20.25" thickTop="1">
      <c r="A96" s="179" t="s">
        <v>186</v>
      </c>
      <c r="B96" s="180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2"/>
      <c r="Y96" s="183"/>
    </row>
    <row r="97" spans="1:27">
      <c r="A97" s="179"/>
      <c r="B97" s="180" t="s">
        <v>138</v>
      </c>
      <c r="C97" s="181"/>
      <c r="D97" s="181"/>
      <c r="E97" s="181"/>
      <c r="F97" s="181"/>
      <c r="G97" s="181">
        <v>0</v>
      </c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2">
        <f>SUM(C97:V97)</f>
        <v>0</v>
      </c>
      <c r="Y97" s="183"/>
    </row>
    <row r="98" spans="1:27">
      <c r="A98" s="179"/>
      <c r="B98" s="180" t="s">
        <v>348</v>
      </c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2">
        <f>SUM(C98:V98)</f>
        <v>0</v>
      </c>
      <c r="Y98" s="183"/>
    </row>
    <row r="99" spans="1:27" s="173" customFormat="1" ht="18.75">
      <c r="A99" s="167"/>
      <c r="B99" s="168" t="s">
        <v>230</v>
      </c>
      <c r="C99" s="169"/>
      <c r="D99" s="169">
        <f>SUM(D97:D98)</f>
        <v>0</v>
      </c>
      <c r="E99" s="169">
        <f>SUM(E97:E98)</f>
        <v>0</v>
      </c>
      <c r="F99" s="169">
        <f>SUM(F97:F98)</f>
        <v>0</v>
      </c>
      <c r="G99" s="169">
        <f>SUM(G97:G98)</f>
        <v>0</v>
      </c>
      <c r="H99" s="169">
        <f>H98</f>
        <v>0</v>
      </c>
      <c r="I99" s="169">
        <f>SUM(I97:I98)</f>
        <v>0</v>
      </c>
      <c r="J99" s="169"/>
      <c r="K99" s="169"/>
      <c r="L99" s="169"/>
      <c r="M99" s="169">
        <f>SUM(M98)</f>
        <v>0</v>
      </c>
      <c r="N99" s="169"/>
      <c r="O99" s="169"/>
      <c r="P99" s="169"/>
      <c r="Q99" s="169"/>
      <c r="R99" s="169"/>
      <c r="S99" s="169"/>
      <c r="T99" s="169"/>
      <c r="U99" s="169"/>
      <c r="V99" s="169"/>
      <c r="W99" s="170">
        <f>SUM(C99:V99)</f>
        <v>0</v>
      </c>
      <c r="X99" s="171"/>
      <c r="Y99" s="172"/>
    </row>
    <row r="100" spans="1:27" s="173" customFormat="1" thickBot="1">
      <c r="A100" s="174"/>
      <c r="B100" s="175" t="s">
        <v>293</v>
      </c>
      <c r="C100" s="176"/>
      <c r="D100" s="176">
        <v>0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7">
        <f>SUM(C100:V100)</f>
        <v>0</v>
      </c>
      <c r="X100" s="171" t="s">
        <v>65</v>
      </c>
      <c r="Y100" s="172"/>
      <c r="Z100" s="178"/>
      <c r="AA100" s="178"/>
    </row>
    <row r="101" spans="1:27" s="238" customFormat="1" ht="21" thickTop="1" thickBot="1">
      <c r="A101" s="546" t="s">
        <v>349</v>
      </c>
      <c r="B101" s="547"/>
      <c r="C101" s="235">
        <f t="shared" ref="C101:V101" si="10">C16+C24+C36+C45+C52+C68+C75+C84+C89+C95+C100</f>
        <v>0</v>
      </c>
      <c r="D101" s="235">
        <f t="shared" si="10"/>
        <v>0</v>
      </c>
      <c r="E101" s="235">
        <f t="shared" si="10"/>
        <v>0</v>
      </c>
      <c r="F101" s="235">
        <f t="shared" si="10"/>
        <v>0</v>
      </c>
      <c r="G101" s="235">
        <f t="shared" si="10"/>
        <v>0</v>
      </c>
      <c r="H101" s="235">
        <f t="shared" si="10"/>
        <v>0</v>
      </c>
      <c r="I101" s="235">
        <f t="shared" si="10"/>
        <v>0</v>
      </c>
      <c r="J101" s="235">
        <f t="shared" si="10"/>
        <v>0</v>
      </c>
      <c r="K101" s="235">
        <f t="shared" si="10"/>
        <v>0</v>
      </c>
      <c r="L101" s="235">
        <f t="shared" si="10"/>
        <v>0</v>
      </c>
      <c r="M101" s="235">
        <f t="shared" si="10"/>
        <v>0</v>
      </c>
      <c r="N101" s="235">
        <f t="shared" si="10"/>
        <v>0</v>
      </c>
      <c r="O101" s="235">
        <f t="shared" si="10"/>
        <v>0</v>
      </c>
      <c r="P101" s="235">
        <f t="shared" si="10"/>
        <v>0</v>
      </c>
      <c r="Q101" s="235">
        <f t="shared" si="10"/>
        <v>0</v>
      </c>
      <c r="R101" s="235">
        <f t="shared" si="10"/>
        <v>0</v>
      </c>
      <c r="S101" s="235">
        <f t="shared" si="10"/>
        <v>0</v>
      </c>
      <c r="T101" s="235">
        <f t="shared" si="10"/>
        <v>0</v>
      </c>
      <c r="U101" s="235">
        <f t="shared" si="10"/>
        <v>0</v>
      </c>
      <c r="V101" s="235">
        <f t="shared" si="10"/>
        <v>0</v>
      </c>
      <c r="W101" s="235">
        <f>W16+W24+W36+W45+W52+W68+W75+W84+W89+W95+W100</f>
        <v>0</v>
      </c>
      <c r="X101" s="236"/>
      <c r="Y101" s="237"/>
    </row>
    <row r="102" spans="1:27" ht="20.25" thickTop="1"/>
    <row r="103" spans="1:27">
      <c r="H103" s="239" t="s">
        <v>350</v>
      </c>
      <c r="L103" s="239" t="s">
        <v>350</v>
      </c>
      <c r="P103" s="239" t="s">
        <v>350</v>
      </c>
    </row>
    <row r="104" spans="1:27" ht="20.25" thickBot="1">
      <c r="B104" s="151" t="s">
        <v>351</v>
      </c>
      <c r="C104" s="240" t="e">
        <f>+C16+C24+C36+#REF!+C45+C52+C68+C75+#REF!+C84+C89+C100</f>
        <v>#REF!</v>
      </c>
      <c r="D104" s="240" t="e">
        <f>+D16+D24+D36+#REF!+D45+D52+D68+D75+#REF!+D84+D89+D100</f>
        <v>#REF!</v>
      </c>
      <c r="E104" s="240" t="e">
        <f>+E16+E24+E36+#REF!+E45+E52+E68+E75+#REF!+E84+E89+E100</f>
        <v>#REF!</v>
      </c>
      <c r="F104" s="240"/>
      <c r="G104" s="240"/>
      <c r="H104" s="239" t="s">
        <v>352</v>
      </c>
      <c r="I104" s="240"/>
      <c r="J104" s="240"/>
      <c r="K104" s="240"/>
      <c r="L104" s="239" t="s">
        <v>353</v>
      </c>
      <c r="M104" s="240"/>
      <c r="N104" s="240"/>
      <c r="O104" s="239" t="s">
        <v>354</v>
      </c>
      <c r="P104" s="240"/>
      <c r="Q104" s="240"/>
      <c r="R104" s="240"/>
      <c r="S104" s="240" t="e">
        <f>+S16+S24+S36+#REF!+S45+S52+S68+S75+#REF!+S84+S89+S100</f>
        <v>#REF!</v>
      </c>
      <c r="T104" s="240" t="e">
        <f>+T16+T24+T36+#REF!+T45+T52+T68+T75+#REF!+T84+T89+T100</f>
        <v>#REF!</v>
      </c>
      <c r="U104" s="240"/>
      <c r="V104" s="240" t="e">
        <f>+V16+V24+V36+#REF!+V45+V52+V68+V75+#REF!+V84+V89+V100</f>
        <v>#REF!</v>
      </c>
      <c r="W104" s="241" t="e">
        <f>+W16+W24+W36+#REF!+W45+W52+W68+W75+#REF!+W84+W89+W100</f>
        <v>#REF!</v>
      </c>
    </row>
    <row r="105" spans="1:27" ht="20.25" thickTop="1">
      <c r="H105" s="239" t="s">
        <v>355</v>
      </c>
      <c r="L105" s="239" t="s">
        <v>356</v>
      </c>
      <c r="O105" s="239" t="s">
        <v>357</v>
      </c>
      <c r="T105" s="239" t="s">
        <v>358</v>
      </c>
      <c r="W105" s="242">
        <f>+[1]รายงานรับจ่ายเงินสด!B70</f>
        <v>12603701.57</v>
      </c>
    </row>
    <row r="106" spans="1:27">
      <c r="O106" s="152" t="s">
        <v>359</v>
      </c>
      <c r="T106" s="243" t="s">
        <v>360</v>
      </c>
      <c r="W106" s="244" t="e">
        <f>+[1]รายงานรับจ่ายเงินสด!#REF!</f>
        <v>#REF!</v>
      </c>
    </row>
    <row r="107" spans="1:27">
      <c r="T107" s="245" t="s">
        <v>283</v>
      </c>
      <c r="W107" s="242" t="e">
        <f>+W105-W106</f>
        <v>#REF!</v>
      </c>
    </row>
    <row r="108" spans="1:27">
      <c r="T108" s="246" t="s">
        <v>167</v>
      </c>
      <c r="W108" s="242" t="e">
        <f>+W107-W104</f>
        <v>#REF!</v>
      </c>
    </row>
    <row r="109" spans="1:27">
      <c r="T109" s="247"/>
      <c r="U109" s="248"/>
      <c r="V109" s="248"/>
      <c r="W109" s="249"/>
      <c r="X109" s="250"/>
    </row>
    <row r="110" spans="1:27">
      <c r="T110" s="247"/>
      <c r="U110" s="248"/>
      <c r="V110" s="248"/>
      <c r="W110" s="242"/>
      <c r="X110" s="250"/>
    </row>
    <row r="111" spans="1:27">
      <c r="T111" s="248"/>
      <c r="U111" s="248"/>
      <c r="V111" s="248"/>
      <c r="W111" s="251"/>
      <c r="X111" s="250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2015-04-10T07:37:03Z</cp:lastPrinted>
  <dcterms:created xsi:type="dcterms:W3CDTF">2007-07-06T07:24:03Z</dcterms:created>
  <dcterms:modified xsi:type="dcterms:W3CDTF">2015-04-10T07:39:58Z</dcterms:modified>
</cp:coreProperties>
</file>